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Api\ImkervereinFeu\Webseite\DateienFurWebseite\Downloads\"/>
    </mc:Choice>
  </mc:AlternateContent>
  <xr:revisionPtr revIDLastSave="0" documentId="8_{15362906-D2A3-4EA9-A04B-BBA6843AEE5C}" xr6:coauthVersionLast="47" xr6:coauthVersionMax="47" xr10:uidLastSave="{00000000-0000-0000-0000-000000000000}"/>
  <bookViews>
    <workbookView xWindow="2130" yWindow="1890" windowWidth="21600" windowHeight="12855" xr2:uid="{00000000-000D-0000-FFFF-FFFF00000000}"/>
  </bookViews>
  <sheets>
    <sheet name="Honigpreis" sheetId="7" r:id="rId1"/>
  </sheets>
  <calcPr calcId="181029"/>
</workbook>
</file>

<file path=xl/calcChain.xml><?xml version="1.0" encoding="utf-8"?>
<calcChain xmlns="http://schemas.openxmlformats.org/spreadsheetml/2006/main">
  <c r="F90" i="7" l="1"/>
  <c r="H90" i="7"/>
  <c r="D90" i="7"/>
  <c r="D84" i="7"/>
  <c r="D144" i="7"/>
  <c r="E118" i="7"/>
  <c r="E117" i="7"/>
  <c r="I90" i="7" l="1"/>
  <c r="K90" i="7" s="1"/>
  <c r="L90" i="7" s="1"/>
  <c r="C13" i="7"/>
  <c r="J90" i="7" l="1"/>
  <c r="D56" i="7"/>
  <c r="D69" i="7"/>
  <c r="D86" i="7"/>
  <c r="F86" i="7" s="1"/>
  <c r="B32" i="7"/>
  <c r="E75" i="7"/>
  <c r="F75" i="7" s="1"/>
  <c r="H133" i="7"/>
  <c r="E133" i="7"/>
  <c r="F133" i="7" s="1"/>
  <c r="H78" i="7"/>
  <c r="E78" i="7"/>
  <c r="D78" i="7"/>
  <c r="F74" i="7"/>
  <c r="H74" i="7"/>
  <c r="F76" i="7"/>
  <c r="H76" i="7"/>
  <c r="L79" i="7"/>
  <c r="E73" i="7"/>
  <c r="E134" i="7" s="1"/>
  <c r="F134" i="7" s="1"/>
  <c r="H75" i="7"/>
  <c r="H77" i="7"/>
  <c r="F77" i="7"/>
  <c r="H134" i="7"/>
  <c r="H73" i="7"/>
  <c r="D42" i="7"/>
  <c r="B43" i="7"/>
  <c r="B42" i="7"/>
  <c r="B41" i="7"/>
  <c r="B40" i="7"/>
  <c r="B39" i="7"/>
  <c r="B38" i="7"/>
  <c r="B36" i="7"/>
  <c r="B35" i="7"/>
  <c r="B34" i="7"/>
  <c r="B33" i="7"/>
  <c r="B31" i="7"/>
  <c r="B30" i="7"/>
  <c r="E101" i="7"/>
  <c r="H91" i="7"/>
  <c r="F91" i="7"/>
  <c r="H86" i="7"/>
  <c r="H89" i="7"/>
  <c r="F89" i="7"/>
  <c r="C4" i="7"/>
  <c r="E68" i="7"/>
  <c r="F68" i="7" s="1"/>
  <c r="H68" i="7"/>
  <c r="C12" i="7"/>
  <c r="E154" i="7" s="1"/>
  <c r="E140" i="7" l="1"/>
  <c r="E138" i="7"/>
  <c r="I133" i="7"/>
  <c r="J133" i="7" s="1"/>
  <c r="E135" i="7"/>
  <c r="F78" i="7"/>
  <c r="I78" i="7" s="1"/>
  <c r="J78" i="7" s="1"/>
  <c r="I74" i="7"/>
  <c r="J74" i="7" s="1"/>
  <c r="I76" i="7"/>
  <c r="J76" i="7" s="1"/>
  <c r="I75" i="7"/>
  <c r="J75" i="7" s="1"/>
  <c r="I134" i="7"/>
  <c r="J134" i="7" s="1"/>
  <c r="F73" i="7"/>
  <c r="I77" i="7"/>
  <c r="J77" i="7" s="1"/>
  <c r="I91" i="7"/>
  <c r="J91" i="7" s="1"/>
  <c r="I86" i="7"/>
  <c r="J86" i="7" s="1"/>
  <c r="I89" i="7"/>
  <c r="J89" i="7" s="1"/>
  <c r="I68" i="7"/>
  <c r="J68" i="7" s="1"/>
  <c r="H153" i="7"/>
  <c r="D153" i="7"/>
  <c r="H145" i="7"/>
  <c r="H108" i="7"/>
  <c r="E108" i="7"/>
  <c r="F108" i="7" s="1"/>
  <c r="F107" i="7"/>
  <c r="H107" i="7"/>
  <c r="F106" i="7"/>
  <c r="H106" i="7"/>
  <c r="H92" i="7"/>
  <c r="F72" i="7" l="1"/>
  <c r="C32" i="7" s="1"/>
  <c r="I73" i="7"/>
  <c r="J73" i="7" s="1"/>
  <c r="J72" i="7" s="1"/>
  <c r="E32" i="7" s="1"/>
  <c r="I106" i="7"/>
  <c r="J106" i="7" s="1"/>
  <c r="I108" i="7"/>
  <c r="J108" i="7" s="1"/>
  <c r="I107" i="7"/>
  <c r="J107" i="7" s="1"/>
  <c r="I72" i="7" l="1"/>
  <c r="D32" i="7" s="1"/>
  <c r="G55" i="7"/>
  <c r="H55" i="7" s="1"/>
  <c r="H84" i="7"/>
  <c r="F84" i="7"/>
  <c r="D93" i="7"/>
  <c r="F93" i="7" s="1"/>
  <c r="D98" i="7"/>
  <c r="D97" i="7"/>
  <c r="D96" i="7"/>
  <c r="D88" i="7"/>
  <c r="D99" i="7"/>
  <c r="D85" i="7"/>
  <c r="D82" i="7"/>
  <c r="D65" i="7"/>
  <c r="F65" i="7" s="1"/>
  <c r="D64" i="7"/>
  <c r="H83" i="7"/>
  <c r="D83" i="7"/>
  <c r="E51" i="7"/>
  <c r="E83" i="7" s="1"/>
  <c r="E52" i="7"/>
  <c r="E152" i="7"/>
  <c r="F101" i="7"/>
  <c r="H101" i="7"/>
  <c r="H65" i="7"/>
  <c r="H118" i="7"/>
  <c r="H119" i="7"/>
  <c r="H117" i="7"/>
  <c r="E119" i="7"/>
  <c r="F119" i="7" s="1"/>
  <c r="D118" i="7"/>
  <c r="D117" i="7"/>
  <c r="L150" i="7"/>
  <c r="D116" i="7"/>
  <c r="H116" i="7"/>
  <c r="L114" i="7"/>
  <c r="E149" i="7"/>
  <c r="H154" i="7"/>
  <c r="H152" i="7"/>
  <c r="H149" i="7"/>
  <c r="H146" i="7"/>
  <c r="H144" i="7"/>
  <c r="H143" i="7"/>
  <c r="H140" i="7"/>
  <c r="H139" i="7"/>
  <c r="H138" i="7"/>
  <c r="H135" i="7"/>
  <c r="H132" i="7"/>
  <c r="H129" i="7"/>
  <c r="H128" i="7"/>
  <c r="H127" i="7"/>
  <c r="H126" i="7"/>
  <c r="H125" i="7"/>
  <c r="H124" i="7"/>
  <c r="H113" i="7"/>
  <c r="H112" i="7"/>
  <c r="H111" i="7"/>
  <c r="H110" i="7"/>
  <c r="H109" i="7"/>
  <c r="H105" i="7"/>
  <c r="H102" i="7"/>
  <c r="H100" i="7"/>
  <c r="H93" i="7"/>
  <c r="H98" i="7"/>
  <c r="H97" i="7"/>
  <c r="H96" i="7"/>
  <c r="H88" i="7"/>
  <c r="H99" i="7"/>
  <c r="H87" i="7"/>
  <c r="H85" i="7"/>
  <c r="H82" i="7"/>
  <c r="H81" i="7"/>
  <c r="H70" i="7"/>
  <c r="H69" i="7"/>
  <c r="H67" i="7"/>
  <c r="H66" i="7"/>
  <c r="H64" i="7"/>
  <c r="H63" i="7"/>
  <c r="H62" i="7"/>
  <c r="H61" i="7"/>
  <c r="H60" i="7"/>
  <c r="H59" i="7"/>
  <c r="H52" i="7"/>
  <c r="H53" i="7"/>
  <c r="H54" i="7"/>
  <c r="H56" i="7"/>
  <c r="F100" i="7"/>
  <c r="F63" i="7"/>
  <c r="F69" i="7"/>
  <c r="D51" i="7"/>
  <c r="E145" i="7" l="1"/>
  <c r="F145" i="7" s="1"/>
  <c r="I145" i="7" s="1"/>
  <c r="E54" i="7"/>
  <c r="E125" i="7"/>
  <c r="F83" i="7"/>
  <c r="I83" i="7" s="1"/>
  <c r="J83" i="7" s="1"/>
  <c r="I84" i="7"/>
  <c r="J84" i="7" s="1"/>
  <c r="I63" i="7"/>
  <c r="J63" i="7" s="1"/>
  <c r="E53" i="7"/>
  <c r="E55" i="7" s="1"/>
  <c r="E56" i="7" s="1"/>
  <c r="I101" i="7"/>
  <c r="J101" i="7" s="1"/>
  <c r="I65" i="7"/>
  <c r="F117" i="7"/>
  <c r="I117" i="7" s="1"/>
  <c r="J117" i="7" s="1"/>
  <c r="F118" i="7"/>
  <c r="I118" i="7" s="1"/>
  <c r="J118" i="7" s="1"/>
  <c r="I119" i="7"/>
  <c r="J119" i="7" s="1"/>
  <c r="I69" i="7"/>
  <c r="J69" i="7" s="1"/>
  <c r="I100" i="7"/>
  <c r="I93" i="7"/>
  <c r="J93" i="7" s="1"/>
  <c r="J100" i="7" l="1"/>
  <c r="J145" i="7"/>
  <c r="J65" i="7"/>
  <c r="F66" i="7"/>
  <c r="I66" i="7" s="1"/>
  <c r="F111" i="7"/>
  <c r="I111" i="7" s="1"/>
  <c r="F102" i="7"/>
  <c r="F64" i="7"/>
  <c r="I64" i="7" s="1"/>
  <c r="I102" i="7" l="1"/>
  <c r="J102" i="7" s="1"/>
  <c r="J66" i="7"/>
  <c r="J111" i="7"/>
  <c r="J64" i="7"/>
  <c r="F81" i="7"/>
  <c r="I81" i="7" l="1"/>
  <c r="J81" i="7" l="1"/>
  <c r="D149" i="7"/>
  <c r="F149" i="7" s="1"/>
  <c r="E127" i="7"/>
  <c r="D128" i="7"/>
  <c r="F70" i="7"/>
  <c r="I70" i="7" s="1"/>
  <c r="J70" i="7" s="1"/>
  <c r="D152" i="7"/>
  <c r="D154" i="7" s="1"/>
  <c r="E129" i="7"/>
  <c r="F129" i="7" s="1"/>
  <c r="I129" i="7" s="1"/>
  <c r="J129" i="7" s="1"/>
  <c r="F113" i="7"/>
  <c r="I113" i="7" s="1"/>
  <c r="J113" i="7" s="1"/>
  <c r="F97" i="7"/>
  <c r="I97" i="7" s="1"/>
  <c r="F82" i="7"/>
  <c r="F59" i="7"/>
  <c r="F60" i="7"/>
  <c r="I60" i="7" s="1"/>
  <c r="F61" i="7"/>
  <c r="I61" i="7" s="1"/>
  <c r="F62" i="7"/>
  <c r="I62" i="7" s="1"/>
  <c r="F67" i="7"/>
  <c r="I67" i="7" s="1"/>
  <c r="F85" i="7"/>
  <c r="I85" i="7" s="1"/>
  <c r="F87" i="7"/>
  <c r="I87" i="7" s="1"/>
  <c r="F99" i="7"/>
  <c r="I99" i="7" s="1"/>
  <c r="F88" i="7"/>
  <c r="I88" i="7" s="1"/>
  <c r="F96" i="7"/>
  <c r="F98" i="7"/>
  <c r="I98" i="7" s="1"/>
  <c r="F105" i="7"/>
  <c r="F109" i="7"/>
  <c r="I109" i="7" s="1"/>
  <c r="F110" i="7"/>
  <c r="I110" i="7" s="1"/>
  <c r="F112" i="7"/>
  <c r="I112" i="7" s="1"/>
  <c r="F146" i="7"/>
  <c r="D53" i="7"/>
  <c r="I96" i="7" l="1"/>
  <c r="I95" i="7" s="1"/>
  <c r="D34" i="7" s="1"/>
  <c r="F95" i="7"/>
  <c r="C34" i="7" s="1"/>
  <c r="F154" i="7"/>
  <c r="I154" i="7" s="1"/>
  <c r="J154" i="7" s="1"/>
  <c r="I149" i="7"/>
  <c r="J149" i="7" s="1"/>
  <c r="J148" i="7" s="1"/>
  <c r="E42" i="7" s="1"/>
  <c r="F148" i="7"/>
  <c r="C42" i="7" s="1"/>
  <c r="E128" i="7"/>
  <c r="F128" i="7" s="1"/>
  <c r="I128" i="7" s="1"/>
  <c r="J128" i="7" s="1"/>
  <c r="F138" i="7"/>
  <c r="I146" i="7"/>
  <c r="I105" i="7"/>
  <c r="I104" i="7" s="1"/>
  <c r="D35" i="7" s="1"/>
  <c r="F104" i="7"/>
  <c r="C35" i="7" s="1"/>
  <c r="I59" i="7"/>
  <c r="I58" i="7" s="1"/>
  <c r="D31" i="7" s="1"/>
  <c r="F58" i="7"/>
  <c r="C31" i="7" s="1"/>
  <c r="I82" i="7"/>
  <c r="F135" i="7"/>
  <c r="I135" i="7" s="1"/>
  <c r="J135" i="7" s="1"/>
  <c r="E132" i="7"/>
  <c r="F132" i="7" s="1"/>
  <c r="F140" i="7"/>
  <c r="I140" i="7" s="1"/>
  <c r="J140" i="7" s="1"/>
  <c r="E124" i="7"/>
  <c r="F127" i="7"/>
  <c r="I127" i="7" s="1"/>
  <c r="J127" i="7" s="1"/>
  <c r="F125" i="7"/>
  <c r="I125" i="7" s="1"/>
  <c r="J125" i="7" s="1"/>
  <c r="E139" i="7"/>
  <c r="F139" i="7" s="1"/>
  <c r="I139" i="7" s="1"/>
  <c r="J139" i="7" s="1"/>
  <c r="E126" i="7"/>
  <c r="F126" i="7" s="1"/>
  <c r="I126" i="7" s="1"/>
  <c r="J126" i="7" s="1"/>
  <c r="J112" i="7"/>
  <c r="J110" i="7"/>
  <c r="J98" i="7"/>
  <c r="J99" i="7"/>
  <c r="J67" i="7"/>
  <c r="J88" i="7"/>
  <c r="J60" i="7"/>
  <c r="J109" i="7"/>
  <c r="J97" i="7"/>
  <c r="J87" i="7"/>
  <c r="J62" i="7"/>
  <c r="J96" i="7"/>
  <c r="J85" i="7"/>
  <c r="J61" i="7"/>
  <c r="J95" i="7" l="1"/>
  <c r="E34" i="7" s="1"/>
  <c r="J59" i="7"/>
  <c r="J58" i="7" s="1"/>
  <c r="E31" i="7" s="1"/>
  <c r="J82" i="7"/>
  <c r="J105" i="7"/>
  <c r="J104" i="7" s="1"/>
  <c r="E35" i="7" s="1"/>
  <c r="I132" i="7"/>
  <c r="F131" i="7"/>
  <c r="C39" i="7" s="1"/>
  <c r="J146" i="7"/>
  <c r="F137" i="7"/>
  <c r="C40" i="7" s="1"/>
  <c r="I138" i="7"/>
  <c r="C9" i="7"/>
  <c r="E92" i="7" s="1"/>
  <c r="F152" i="7"/>
  <c r="K78" i="7" l="1"/>
  <c r="L78" i="7" s="1"/>
  <c r="K133" i="7"/>
  <c r="L133" i="7" s="1"/>
  <c r="K75" i="7"/>
  <c r="L75" i="7" s="1"/>
  <c r="K76" i="7"/>
  <c r="L76" i="7" s="1"/>
  <c r="K74" i="7"/>
  <c r="L74" i="7" s="1"/>
  <c r="K134" i="7"/>
  <c r="L134" i="7" s="1"/>
  <c r="K73" i="7"/>
  <c r="K77" i="7"/>
  <c r="L77" i="7" s="1"/>
  <c r="K86" i="7"/>
  <c r="L86" i="7" s="1"/>
  <c r="K91" i="7"/>
  <c r="L91" i="7" s="1"/>
  <c r="K68" i="7"/>
  <c r="L68" i="7" s="1"/>
  <c r="K89" i="7"/>
  <c r="L89" i="7" s="1"/>
  <c r="E153" i="7"/>
  <c r="F153" i="7" s="1"/>
  <c r="K108" i="7"/>
  <c r="L108" i="7" s="1"/>
  <c r="K145" i="7"/>
  <c r="L145" i="7" s="1"/>
  <c r="K107" i="7"/>
  <c r="L107" i="7" s="1"/>
  <c r="K106" i="7"/>
  <c r="L106" i="7" s="1"/>
  <c r="F92" i="7"/>
  <c r="F80" i="7" s="1"/>
  <c r="K83" i="7"/>
  <c r="L83" i="7" s="1"/>
  <c r="K84" i="7"/>
  <c r="L84" i="7" s="1"/>
  <c r="K65" i="7"/>
  <c r="L65" i="7" s="1"/>
  <c r="K101" i="7"/>
  <c r="L101" i="7" s="1"/>
  <c r="K117" i="7"/>
  <c r="L117" i="7" s="1"/>
  <c r="K118" i="7"/>
  <c r="L118" i="7" s="1"/>
  <c r="K119" i="7"/>
  <c r="L119" i="7" s="1"/>
  <c r="K93" i="7"/>
  <c r="L93" i="7" s="1"/>
  <c r="K100" i="7"/>
  <c r="K69" i="7"/>
  <c r="L69" i="7" s="1"/>
  <c r="K63" i="7"/>
  <c r="L63" i="7" s="1"/>
  <c r="K66" i="7"/>
  <c r="L66" i="7" s="1"/>
  <c r="K111" i="7"/>
  <c r="L111" i="7" s="1"/>
  <c r="K102" i="7"/>
  <c r="L102" i="7" s="1"/>
  <c r="K64" i="7"/>
  <c r="L64" i="7" s="1"/>
  <c r="J132" i="7"/>
  <c r="J131" i="7" s="1"/>
  <c r="E39" i="7" s="1"/>
  <c r="I131" i="7"/>
  <c r="D39" i="7" s="1"/>
  <c r="K81" i="7"/>
  <c r="J138" i="7"/>
  <c r="J137" i="7" s="1"/>
  <c r="E40" i="7" s="1"/>
  <c r="I137" i="7"/>
  <c r="D40" i="7" s="1"/>
  <c r="K135" i="7"/>
  <c r="L135" i="7" s="1"/>
  <c r="K132" i="7"/>
  <c r="L132" i="7" s="1"/>
  <c r="K70" i="7"/>
  <c r="L70" i="7" s="1"/>
  <c r="K128" i="7"/>
  <c r="L128" i="7" s="1"/>
  <c r="I152" i="7"/>
  <c r="E143" i="7"/>
  <c r="K129" i="7"/>
  <c r="L129" i="7" s="1"/>
  <c r="K125" i="7"/>
  <c r="L125" i="7" s="1"/>
  <c r="K112" i="7"/>
  <c r="L112" i="7" s="1"/>
  <c r="K59" i="7"/>
  <c r="L59" i="7" s="1"/>
  <c r="K82" i="7"/>
  <c r="L82" i="7" s="1"/>
  <c r="K109" i="7"/>
  <c r="L109" i="7" s="1"/>
  <c r="K87" i="7"/>
  <c r="L87" i="7" s="1"/>
  <c r="K105" i="7"/>
  <c r="L105" i="7" s="1"/>
  <c r="K113" i="7"/>
  <c r="L113" i="7" s="1"/>
  <c r="K140" i="7"/>
  <c r="L140" i="7" s="1"/>
  <c r="K139" i="7"/>
  <c r="L139" i="7" s="1"/>
  <c r="K110" i="7"/>
  <c r="L110" i="7" s="1"/>
  <c r="K97" i="7"/>
  <c r="L97" i="7" s="1"/>
  <c r="K62" i="7"/>
  <c r="L62" i="7" s="1"/>
  <c r="K96" i="7"/>
  <c r="L96" i="7" s="1"/>
  <c r="K61" i="7"/>
  <c r="L61" i="7" s="1"/>
  <c r="K98" i="7"/>
  <c r="L98" i="7" s="1"/>
  <c r="K60" i="7"/>
  <c r="L60" i="7" s="1"/>
  <c r="K99" i="7"/>
  <c r="L99" i="7" s="1"/>
  <c r="K85" i="7"/>
  <c r="L85" i="7" s="1"/>
  <c r="K138" i="7"/>
  <c r="K127" i="7"/>
  <c r="L127" i="7" s="1"/>
  <c r="K126" i="7"/>
  <c r="L126" i="7" s="1"/>
  <c r="K146" i="7"/>
  <c r="L146" i="7" s="1"/>
  <c r="K154" i="7"/>
  <c r="L154" i="7" s="1"/>
  <c r="K67" i="7"/>
  <c r="L67" i="7" s="1"/>
  <c r="K88" i="7"/>
  <c r="L88" i="7" s="1"/>
  <c r="K149" i="7"/>
  <c r="F52" i="7"/>
  <c r="I52" i="7" s="1"/>
  <c r="F53" i="7"/>
  <c r="I53" i="7" s="1"/>
  <c r="F51" i="7"/>
  <c r="L73" i="7" l="1"/>
  <c r="K72" i="7"/>
  <c r="L81" i="7"/>
  <c r="I92" i="7"/>
  <c r="C33" i="7"/>
  <c r="L100" i="7"/>
  <c r="K95" i="7"/>
  <c r="I153" i="7"/>
  <c r="I151" i="7" s="1"/>
  <c r="D43" i="7" s="1"/>
  <c r="F151" i="7"/>
  <c r="C43" i="7" s="1"/>
  <c r="L138" i="7"/>
  <c r="K137" i="7"/>
  <c r="L149" i="7"/>
  <c r="L148" i="7" s="1"/>
  <c r="G42" i="7" s="1"/>
  <c r="K148" i="7"/>
  <c r="F42" i="7" s="1"/>
  <c r="J152" i="7"/>
  <c r="K131" i="7"/>
  <c r="K104" i="7"/>
  <c r="K58" i="7"/>
  <c r="K152" i="7"/>
  <c r="E144" i="7"/>
  <c r="F144" i="7" s="1"/>
  <c r="I144" i="7" s="1"/>
  <c r="F143" i="7"/>
  <c r="F124" i="7"/>
  <c r="F123" i="7" s="1"/>
  <c r="C38" i="7" s="1"/>
  <c r="J52" i="7"/>
  <c r="K52" i="7"/>
  <c r="L52" i="7" s="1"/>
  <c r="F54" i="7"/>
  <c r="I54" i="7" s="1"/>
  <c r="J53" i="7"/>
  <c r="K53" i="7"/>
  <c r="L53" i="7" s="1"/>
  <c r="F55" i="7"/>
  <c r="L72" i="7" l="1"/>
  <c r="G32" i="7" s="1"/>
  <c r="F32" i="7"/>
  <c r="J92" i="7"/>
  <c r="I80" i="7"/>
  <c r="D33" i="7" s="1"/>
  <c r="L58" i="7"/>
  <c r="G31" i="7" s="1"/>
  <c r="F31" i="7"/>
  <c r="L104" i="7"/>
  <c r="G35" i="7" s="1"/>
  <c r="F35" i="7"/>
  <c r="L131" i="7"/>
  <c r="G39" i="7" s="1"/>
  <c r="F39" i="7"/>
  <c r="L137" i="7"/>
  <c r="G40" i="7" s="1"/>
  <c r="F40" i="7"/>
  <c r="L95" i="7"/>
  <c r="G34" i="7" s="1"/>
  <c r="F34" i="7"/>
  <c r="K92" i="7"/>
  <c r="K80" i="7" s="1"/>
  <c r="L80" i="7" s="1"/>
  <c r="J153" i="7"/>
  <c r="J151" i="7" s="1"/>
  <c r="E43" i="7" s="1"/>
  <c r="K153" i="7"/>
  <c r="L153" i="7" s="1"/>
  <c r="L152" i="7"/>
  <c r="I143" i="7"/>
  <c r="I142" i="7" s="1"/>
  <c r="D41" i="7" s="1"/>
  <c r="F142" i="7"/>
  <c r="F157" i="7" s="1"/>
  <c r="I55" i="7"/>
  <c r="K55" i="7" s="1"/>
  <c r="L55" i="7" s="1"/>
  <c r="I124" i="7"/>
  <c r="J144" i="7"/>
  <c r="K144" i="7"/>
  <c r="L144" i="7" s="1"/>
  <c r="K54" i="7"/>
  <c r="L54" i="7" s="1"/>
  <c r="J54" i="7"/>
  <c r="J80" i="7" l="1"/>
  <c r="E33" i="7" s="1"/>
  <c r="F156" i="7"/>
  <c r="C41" i="7"/>
  <c r="C44" i="7" s="1"/>
  <c r="L92" i="7"/>
  <c r="F33" i="7"/>
  <c r="L151" i="7"/>
  <c r="G43" i="7" s="1"/>
  <c r="K151" i="7"/>
  <c r="F43" i="7" s="1"/>
  <c r="J55" i="7"/>
  <c r="K143" i="7"/>
  <c r="J143" i="7"/>
  <c r="J142" i="7" s="1"/>
  <c r="E41" i="7" s="1"/>
  <c r="J124" i="7"/>
  <c r="J123" i="7" s="1"/>
  <c r="E38" i="7" s="1"/>
  <c r="I123" i="7"/>
  <c r="D38" i="7" s="1"/>
  <c r="D44" i="7" s="1"/>
  <c r="K124" i="7"/>
  <c r="K123" i="7" s="1"/>
  <c r="F38" i="7" s="1"/>
  <c r="E44" i="7" l="1"/>
  <c r="J157" i="7"/>
  <c r="J156" i="7"/>
  <c r="I157" i="7"/>
  <c r="I156" i="7"/>
  <c r="L123" i="7"/>
  <c r="G38" i="7" s="1"/>
  <c r="L124" i="7"/>
  <c r="K142" i="7"/>
  <c r="L143" i="7"/>
  <c r="L142" i="7" l="1"/>
  <c r="G41" i="7" s="1"/>
  <c r="G44" i="7" s="1"/>
  <c r="F41" i="7"/>
  <c r="F44" i="7" s="1"/>
  <c r="K156" i="7"/>
  <c r="L156" i="7" s="1"/>
  <c r="K157" i="7"/>
  <c r="L157" i="7" s="1"/>
  <c r="C27" i="7" s="1"/>
  <c r="F56" i="7" l="1"/>
  <c r="F50" i="7" l="1"/>
  <c r="C30" i="7" s="1"/>
  <c r="I56" i="7"/>
  <c r="E116" i="7" l="1"/>
  <c r="J56" i="7"/>
  <c r="K56" i="7"/>
  <c r="L56" i="7" s="1"/>
  <c r="G33" i="7" l="1"/>
  <c r="F116" i="7"/>
  <c r="F115" i="7" s="1"/>
  <c r="I51" i="7"/>
  <c r="I50" i="7" s="1"/>
  <c r="F121" i="7" l="1"/>
  <c r="C36" i="7"/>
  <c r="I116" i="7"/>
  <c r="I115" i="7" s="1"/>
  <c r="D36" i="7" s="1"/>
  <c r="J51" i="7"/>
  <c r="J50" i="7" s="1"/>
  <c r="E30" i="7" s="1"/>
  <c r="D30" i="7"/>
  <c r="K51" i="7"/>
  <c r="D37" i="7" l="1"/>
  <c r="D45" i="7" s="1"/>
  <c r="C37" i="7"/>
  <c r="C45" i="7" s="1"/>
  <c r="K116" i="7"/>
  <c r="K115" i="7" s="1"/>
  <c r="F36" i="7" s="1"/>
  <c r="J116" i="7"/>
  <c r="J115" i="7" s="1"/>
  <c r="E36" i="7" s="1"/>
  <c r="K50" i="7"/>
  <c r="F30" i="7" s="1"/>
  <c r="L51" i="7"/>
  <c r="F37" i="7" l="1"/>
  <c r="F45" i="7" s="1"/>
  <c r="E37" i="7"/>
  <c r="E45" i="7" s="1"/>
  <c r="L116" i="7"/>
  <c r="L115" i="7" s="1"/>
  <c r="G36" i="7" s="1"/>
  <c r="L50" i="7"/>
  <c r="G30" i="7" s="1"/>
  <c r="F158" i="7"/>
  <c r="I121" i="7"/>
  <c r="I158" i="7" s="1"/>
  <c r="J121" i="7"/>
  <c r="J158" i="7" s="1"/>
  <c r="K121" i="7"/>
  <c r="L121" i="7" s="1"/>
  <c r="G37" i="7" l="1"/>
  <c r="G45" i="7" s="1"/>
  <c r="K158" i="7"/>
  <c r="L158" i="7" s="1"/>
  <c r="C25" i="7" l="1"/>
  <c r="C26" i="7"/>
  <c r="E17" i="7"/>
  <c r="C24" i="7"/>
</calcChain>
</file>

<file path=xl/sharedStrings.xml><?xml version="1.0" encoding="utf-8"?>
<sst xmlns="http://schemas.openxmlformats.org/spreadsheetml/2006/main" count="262" uniqueCount="157">
  <si>
    <t>Bezeichnung</t>
  </si>
  <si>
    <t>Honigschleuder</t>
  </si>
  <si>
    <t>Einlöttrafo</t>
  </si>
  <si>
    <t>Schutzkleidung</t>
  </si>
  <si>
    <t>Vermarktungskosten</t>
  </si>
  <si>
    <t>Etiketten</t>
  </si>
  <si>
    <t>Gläser 500g</t>
  </si>
  <si>
    <t>ApiLifeVar</t>
  </si>
  <si>
    <t>Oxalsäure</t>
  </si>
  <si>
    <t>Ameisensäure</t>
  </si>
  <si>
    <t>Varroa-Mittel</t>
  </si>
  <si>
    <t>Honigeimer</t>
  </si>
  <si>
    <t>Futterteig</t>
  </si>
  <si>
    <t>Zeichenstift</t>
  </si>
  <si>
    <t>Mittelwände</t>
  </si>
  <si>
    <t>Honigrähmchen</t>
  </si>
  <si>
    <t>Bruträhmchen</t>
  </si>
  <si>
    <t>Kilometerpauschale</t>
  </si>
  <si>
    <t>Kurse/Weiterbildung</t>
  </si>
  <si>
    <t>Honigverflüssiger</t>
  </si>
  <si>
    <t>Honigrührer</t>
  </si>
  <si>
    <t>Honigrührgerät</t>
  </si>
  <si>
    <t>Refraktometer</t>
  </si>
  <si>
    <t>Abfüllkübel</t>
  </si>
  <si>
    <t>Lufttrockner</t>
  </si>
  <si>
    <t>Transportmittel (Hänger, …)</t>
  </si>
  <si>
    <t>Smoker</t>
  </si>
  <si>
    <t>Handschuhe</t>
  </si>
  <si>
    <t>Werkzeuge</t>
  </si>
  <si>
    <t>Sonnenwachsschmelzer</t>
  </si>
  <si>
    <t>Beuten Ableger</t>
  </si>
  <si>
    <t>Beutenbock (2 Völker/Bock)</t>
  </si>
  <si>
    <t>Nassenheider Verdunster</t>
  </si>
  <si>
    <t>Fütterer</t>
  </si>
  <si>
    <t>Stück</t>
  </si>
  <si>
    <t>Bienenvolk</t>
  </si>
  <si>
    <t>Fixkosten</t>
  </si>
  <si>
    <t>AfA</t>
  </si>
  <si>
    <t>Einheit</t>
  </si>
  <si>
    <t>%</t>
  </si>
  <si>
    <t>€/h</t>
  </si>
  <si>
    <t>h/Jahr</t>
  </si>
  <si>
    <t>Bearbeitungszeit Volk</t>
  </si>
  <si>
    <t>kg/Jahr</t>
  </si>
  <si>
    <t>Jahreshonigertrag</t>
  </si>
  <si>
    <t>kg</t>
  </si>
  <si>
    <r>
      <rPr>
        <sz val="11"/>
        <color theme="1"/>
        <rFont val="Calibri"/>
        <family val="2"/>
      </rPr>
      <t xml:space="preserve">Ø </t>
    </r>
    <r>
      <rPr>
        <sz val="11"/>
        <color rgb="FF000000"/>
        <rFont val="Calibri"/>
        <family val="2"/>
      </rPr>
      <t>Honigernte/Volk</t>
    </r>
  </si>
  <si>
    <t>pauschal</t>
  </si>
  <si>
    <t>Paar</t>
  </si>
  <si>
    <t>Entdeckelungsgeschirr, Gabel, Doppelsieb, Spitzsieb</t>
  </si>
  <si>
    <t>Imker-Grundkurs</t>
  </si>
  <si>
    <t>Honig-Grundkurs</t>
  </si>
  <si>
    <t>Bücher</t>
  </si>
  <si>
    <t>Bearbeitungslohn</t>
  </si>
  <si>
    <t>l</t>
  </si>
  <si>
    <t>h</t>
  </si>
  <si>
    <t>€/Stück</t>
  </si>
  <si>
    <t>sonstige Werkzeuge</t>
  </si>
  <si>
    <t>€/Volk</t>
  </si>
  <si>
    <t>€/Kg Honig</t>
  </si>
  <si>
    <t>variable Kosten</t>
  </si>
  <si>
    <t>Menge</t>
  </si>
  <si>
    <t>GP €</t>
  </si>
  <si>
    <t>€/Einheit</t>
  </si>
  <si>
    <t>€/Jahr</t>
  </si>
  <si>
    <t>Futtersirup Völker</t>
  </si>
  <si>
    <t>Futtersirup Ableger</t>
  </si>
  <si>
    <t>€/km</t>
  </si>
  <si>
    <t>Honigverkauf</t>
  </si>
  <si>
    <t>schlupfreife Zellen</t>
  </si>
  <si>
    <t>Königinnen</t>
  </si>
  <si>
    <t>Zuchtwerkzeug</t>
  </si>
  <si>
    <t>Erntegeräte (Laubbläser, …)</t>
  </si>
  <si>
    <t>Teilergebnis</t>
  </si>
  <si>
    <t>Teilergebnis Fixkosten</t>
  </si>
  <si>
    <t>Teilergebnis variable Kosten</t>
  </si>
  <si>
    <t>€/500g-Glas</t>
  </si>
  <si>
    <t>Anzahl Wirtschaftsvölker</t>
  </si>
  <si>
    <t>Völker fix</t>
  </si>
  <si>
    <t>Völker variabel</t>
  </si>
  <si>
    <t>Weiterbildung/Sonstiges</t>
  </si>
  <si>
    <t>--&gt; größter Einfluß</t>
  </si>
  <si>
    <t>Beutenkarre</t>
  </si>
  <si>
    <t>Abkehrbesen</t>
  </si>
  <si>
    <t>Eimerhalter</t>
  </si>
  <si>
    <t>Anzahl Bienenstände</t>
  </si>
  <si>
    <r>
      <rPr>
        <sz val="11"/>
        <color theme="1"/>
        <rFont val="Calibri"/>
        <family val="2"/>
      </rPr>
      <t xml:space="preserve">Ø </t>
    </r>
    <r>
      <rPr>
        <sz val="11"/>
        <color rgb="FF000000"/>
        <rFont val="Calibri"/>
        <family val="2"/>
      </rPr>
      <t>Distanz Bienenstand</t>
    </r>
  </si>
  <si>
    <t>km</t>
  </si>
  <si>
    <t>kalkulatorische Zinsen</t>
  </si>
  <si>
    <t>Fahrtkosten</t>
  </si>
  <si>
    <t>Arbeitszeit</t>
  </si>
  <si>
    <t>kalk. Kosten</t>
  </si>
  <si>
    <t>kalk. Miete Lagerfläche</t>
  </si>
  <si>
    <t>m²</t>
  </si>
  <si>
    <t>€/m²</t>
  </si>
  <si>
    <t>kalk. Miete Hygienefläche</t>
  </si>
  <si>
    <t>kalk. Strom, Wasser, Büro</t>
  </si>
  <si>
    <t>Dampfwachsschmelzer</t>
  </si>
  <si>
    <t>geeichte Waage</t>
  </si>
  <si>
    <t>Eichgebühr Waage</t>
  </si>
  <si>
    <t>Beute (Boden, BR mit Schied, ASG, 4x HR, Deckel)</t>
  </si>
  <si>
    <t xml:space="preserve"> Ergebnis </t>
  </si>
  <si>
    <t>gelbe Felder sind Eingabefelder</t>
  </si>
  <si>
    <t>Bienenflucht</t>
  </si>
  <si>
    <r>
      <rPr>
        <sz val="11"/>
        <color theme="1"/>
        <rFont val="Calibri"/>
        <family val="2"/>
      </rPr>
      <t>Ø</t>
    </r>
    <r>
      <rPr>
        <sz val="9.35"/>
        <color theme="1"/>
        <rFont val="Calibri"/>
        <family val="2"/>
      </rPr>
      <t xml:space="preserve"> Förderquote</t>
    </r>
  </si>
  <si>
    <t>Deckelwachsschmelzer</t>
  </si>
  <si>
    <t>Versicherung</t>
  </si>
  <si>
    <t>Mitgliedsbeitrag Imkerverein</t>
  </si>
  <si>
    <t>Mitgliedsbeitrag Verband</t>
  </si>
  <si>
    <t>Werbebeitrag DIB</t>
  </si>
  <si>
    <t>pro Volk</t>
  </si>
  <si>
    <t>Abo Bienenjournal</t>
  </si>
  <si>
    <t>Abo Biene &amp; Natur</t>
  </si>
  <si>
    <t>Werbekosten</t>
  </si>
  <si>
    <t>Nutzungs-jahre</t>
  </si>
  <si>
    <t>Teilergebnis variable Kosten ohne Arbeitszeit</t>
  </si>
  <si>
    <t>jährlich</t>
  </si>
  <si>
    <t>Set</t>
  </si>
  <si>
    <t>Honigverarbeitung/-verkauf</t>
  </si>
  <si>
    <t>h/kg Honig</t>
  </si>
  <si>
    <t>h/Volk</t>
  </si>
  <si>
    <t>sonstige Arbeitszeit 
(Rähmchen, Lager, Wachs, …)</t>
  </si>
  <si>
    <t>kalkulatorischer Lohn</t>
  </si>
  <si>
    <t>kalkulatorische Miete</t>
  </si>
  <si>
    <t>Zurrgurt</t>
  </si>
  <si>
    <t>Ableger und "ohne Ertrag"</t>
  </si>
  <si>
    <t>Honigbearbeitung/-verkauf</t>
  </si>
  <si>
    <t>Honigernte</t>
  </si>
  <si>
    <t>Honigverarbeitung</t>
  </si>
  <si>
    <t>Siebkübel</t>
  </si>
  <si>
    <t>Honigtrocknerkaskade</t>
  </si>
  <si>
    <t>Luftentfeuchter für Kaskade</t>
  </si>
  <si>
    <t>Ergebnis</t>
  </si>
  <si>
    <t>Apidea</t>
  </si>
  <si>
    <t>Nicot-Set, 10er</t>
  </si>
  <si>
    <t>Miniplus</t>
  </si>
  <si>
    <t>Fahrtkosten Belegstelle</t>
  </si>
  <si>
    <t>Belegstellenentfernung</t>
  </si>
  <si>
    <t>Belegstellenfahrten</t>
  </si>
  <si>
    <t>/Jahr</t>
  </si>
  <si>
    <t>Zucht (fix)</t>
  </si>
  <si>
    <t>Belegstellengebühr</t>
  </si>
  <si>
    <t>Zucht (variabel)</t>
  </si>
  <si>
    <t>km-Pauschal</t>
  </si>
  <si>
    <t>Stockmeißel</t>
  </si>
  <si>
    <t>km(einf.)</t>
  </si>
  <si>
    <t>Platzbedarf Lager</t>
  </si>
  <si>
    <t>Platzbedarf Hygienefläche</t>
  </si>
  <si>
    <t>m²/Volk</t>
  </si>
  <si>
    <t>ohne Arbeitszeit</t>
  </si>
  <si>
    <t>o. Arbeitszeit und kalk. Kosten</t>
  </si>
  <si>
    <t>--&gt; einfache Strecke</t>
  </si>
  <si>
    <t>variable Kosten o. Lohn</t>
  </si>
  <si>
    <t>/Glas</t>
  </si>
  <si>
    <t>Herstellkosten</t>
  </si>
  <si>
    <t>komplett</t>
  </si>
  <si>
    <t>Honigtrockner 200kg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</si>
</sst>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5" formatCode="&quot; &quot;#,##0.00&quot; € &quot;;&quot;-&quot;#,##0.00&quot; € &quot;;&quot; &quot;&quot;-&quot;#&quot; € &quot;;&quot; &quot;@&quot; &quot;"/>
    <numFmt numFmtId="168" formatCode="#,##0.00&quot; &quot;[$€-407];[Red]&quot;-&quot;#,##0.00&quot; &quot;[$€-407]"/>
    <numFmt numFmtId="169" formatCode="_-* #,##0.000\ &quot;€&quot;_-;\-* #,##0.000\ &quot;€&quot;_-;_-* &quot;-&quot;??\ &quot;€&quot;_-;_-@_-"/>
    <numFmt numFmtId="170" formatCode="_-* #,##0\ &quot;€&quot;_-;\-* #,##0\ &quot;€&quot;_-;_-* &quot;-&quot;??\ &quot;€&quot;_-;_-@_-"/>
  </numFmts>
  <fonts count="2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.35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theme="0" tint="-0.14999847407452621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5" fontId="10" fillId="0" borderId="0"/>
    <xf numFmtId="0" fontId="11" fillId="0" borderId="0"/>
    <xf numFmtId="9" fontId="1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8" fontId="13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6">
    <xf numFmtId="0" fontId="0" fillId="0" borderId="0" xfId="0"/>
    <xf numFmtId="0" fontId="9" fillId="0" borderId="0" xfId="8" applyAlignment="1">
      <alignment horizontal="center" vertical="center" wrapText="1"/>
    </xf>
    <xf numFmtId="0" fontId="9" fillId="0" borderId="0" xfId="8" applyAlignment="1">
      <alignment horizontal="center" vertical="center"/>
    </xf>
    <xf numFmtId="44" fontId="0" fillId="0" borderId="0" xfId="9" applyFont="1" applyAlignment="1">
      <alignment horizontal="center" vertical="center"/>
    </xf>
    <xf numFmtId="9" fontId="0" fillId="0" borderId="0" xfId="10" applyFont="1" applyAlignment="1">
      <alignment horizontal="center" vertical="center"/>
    </xf>
    <xf numFmtId="0" fontId="9" fillId="0" borderId="0" xfId="8" applyAlignment="1">
      <alignment horizontal="right" vertical="center" wrapText="1"/>
    </xf>
    <xf numFmtId="0" fontId="15" fillId="0" borderId="0" xfId="8" applyFont="1" applyAlignment="1">
      <alignment horizontal="center" vertical="center"/>
    </xf>
    <xf numFmtId="0" fontId="16" fillId="3" borderId="0" xfId="8" applyFont="1" applyFill="1" applyAlignment="1">
      <alignment horizontal="center" vertical="center" textRotation="90"/>
    </xf>
    <xf numFmtId="0" fontId="15" fillId="0" borderId="0" xfId="8" applyFont="1" applyAlignment="1">
      <alignment horizontal="right" vertical="center" wrapText="1"/>
    </xf>
    <xf numFmtId="44" fontId="17" fillId="0" borderId="0" xfId="9" applyFont="1" applyAlignment="1">
      <alignment horizontal="center" vertical="center"/>
    </xf>
    <xf numFmtId="9" fontId="17" fillId="0" borderId="0" xfId="10" applyFont="1" applyAlignment="1">
      <alignment horizontal="center" vertical="center"/>
    </xf>
    <xf numFmtId="0" fontId="18" fillId="0" borderId="0" xfId="8" applyFont="1" applyAlignment="1">
      <alignment horizontal="right" vertical="center" wrapText="1"/>
    </xf>
    <xf numFmtId="9" fontId="0" fillId="0" borderId="0" xfId="10" applyFont="1" applyFill="1" applyAlignment="1">
      <alignment horizontal="center" vertical="center"/>
    </xf>
    <xf numFmtId="44" fontId="0" fillId="0" borderId="0" xfId="9" applyFont="1" applyFill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9" fillId="5" borderId="0" xfId="8" applyFill="1" applyAlignment="1">
      <alignment horizontal="center" vertical="center"/>
    </xf>
    <xf numFmtId="0" fontId="15" fillId="5" borderId="0" xfId="8" applyFont="1" applyFill="1" applyAlignment="1">
      <alignment horizontal="right" vertical="center" wrapText="1"/>
    </xf>
    <xf numFmtId="0" fontId="15" fillId="5" borderId="0" xfId="8" applyFont="1" applyFill="1" applyAlignment="1">
      <alignment horizontal="center" vertical="center"/>
    </xf>
    <xf numFmtId="44" fontId="17" fillId="5" borderId="0" xfId="9" applyFont="1" applyFill="1" applyAlignment="1">
      <alignment horizontal="center" vertical="center"/>
    </xf>
    <xf numFmtId="9" fontId="17" fillId="5" borderId="0" xfId="10" applyFont="1" applyFill="1" applyAlignment="1">
      <alignment horizontal="center" vertical="center"/>
    </xf>
    <xf numFmtId="9" fontId="17" fillId="0" borderId="0" xfId="10" applyFont="1" applyAlignment="1">
      <alignment horizontal="right" vertical="center"/>
    </xf>
    <xf numFmtId="0" fontId="15" fillId="0" borderId="0" xfId="8" applyFont="1" applyAlignment="1">
      <alignment horizontal="right" vertical="center"/>
    </xf>
    <xf numFmtId="0" fontId="16" fillId="0" borderId="0" xfId="8" applyFont="1" applyAlignment="1">
      <alignment vertical="center" textRotation="90"/>
    </xf>
    <xf numFmtId="0" fontId="8" fillId="0" borderId="0" xfId="8" quotePrefix="1" applyFont="1" applyAlignment="1">
      <alignment horizontal="left" vertical="center"/>
    </xf>
    <xf numFmtId="0" fontId="9" fillId="0" borderId="0" xfId="8" applyAlignment="1">
      <alignment horizontal="left" vertical="center"/>
    </xf>
    <xf numFmtId="9" fontId="9" fillId="0" borderId="0" xfId="11" applyFont="1" applyAlignment="1">
      <alignment horizontal="left" vertical="center"/>
    </xf>
    <xf numFmtId="0" fontId="8" fillId="0" borderId="0" xfId="8" applyFont="1" applyAlignment="1">
      <alignment horizontal="right" vertical="center" wrapText="1"/>
    </xf>
    <xf numFmtId="169" fontId="17" fillId="0" borderId="0" xfId="9" applyNumberFormat="1" applyFont="1" applyAlignment="1">
      <alignment horizontal="center" vertical="center"/>
    </xf>
    <xf numFmtId="169" fontId="17" fillId="5" borderId="0" xfId="9" applyNumberFormat="1" applyFont="1" applyFill="1" applyAlignment="1">
      <alignment horizontal="center" vertical="center"/>
    </xf>
    <xf numFmtId="0" fontId="0" fillId="0" borderId="0" xfId="12" applyNumberFormat="1" applyFont="1" applyAlignment="1">
      <alignment horizontal="center" vertical="center"/>
    </xf>
    <xf numFmtId="0" fontId="17" fillId="0" borderId="0" xfId="12" applyNumberFormat="1" applyFont="1" applyAlignment="1">
      <alignment horizontal="center" vertical="center"/>
    </xf>
    <xf numFmtId="0" fontId="17" fillId="5" borderId="0" xfId="12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4" fontId="0" fillId="0" borderId="0" xfId="9" applyFont="1" applyAlignment="1">
      <alignment horizontal="center" vertical="center" wrapText="1"/>
    </xf>
    <xf numFmtId="0" fontId="0" fillId="0" borderId="0" xfId="12" applyNumberFormat="1" applyFont="1" applyAlignment="1">
      <alignment horizontal="center" vertical="center" wrapText="1"/>
    </xf>
    <xf numFmtId="9" fontId="0" fillId="0" borderId="0" xfId="10" applyFont="1" applyAlignment="1">
      <alignment horizontal="center" vertical="center" wrapText="1"/>
    </xf>
    <xf numFmtId="0" fontId="7" fillId="0" borderId="0" xfId="8" applyFont="1" applyAlignment="1">
      <alignment horizontal="right" vertical="center" wrapText="1"/>
    </xf>
    <xf numFmtId="0" fontId="14" fillId="0" borderId="0" xfId="8" applyFont="1" applyAlignment="1">
      <alignment horizontal="right" vertical="center" wrapText="1"/>
    </xf>
    <xf numFmtId="9" fontId="17" fillId="0" borderId="0" xfId="11" applyFont="1" applyAlignment="1">
      <alignment horizontal="center" vertical="center"/>
    </xf>
    <xf numFmtId="170" fontId="15" fillId="0" borderId="0" xfId="8" applyNumberFormat="1" applyFont="1" applyAlignment="1">
      <alignment horizontal="center" vertical="center"/>
    </xf>
    <xf numFmtId="44" fontId="0" fillId="0" borderId="0" xfId="9" applyFont="1" applyAlignment="1">
      <alignment horizontal="left" vertical="center"/>
    </xf>
    <xf numFmtId="0" fontId="9" fillId="0" borderId="0" xfId="8" applyAlignment="1">
      <alignment horizontal="right" vertical="center"/>
    </xf>
    <xf numFmtId="2" fontId="9" fillId="0" borderId="0" xfId="8" applyNumberFormat="1" applyAlignment="1">
      <alignment horizontal="center" vertical="center"/>
    </xf>
    <xf numFmtId="170" fontId="17" fillId="0" borderId="0" xfId="9" applyNumberFormat="1" applyFont="1" applyAlignment="1">
      <alignment horizontal="center" vertical="center"/>
    </xf>
    <xf numFmtId="170" fontId="17" fillId="5" borderId="0" xfId="9" applyNumberFormat="1" applyFont="1" applyFill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44" fontId="17" fillId="0" borderId="0" xfId="13" applyFont="1" applyAlignment="1">
      <alignment horizontal="center" vertical="center"/>
    </xf>
    <xf numFmtId="170" fontId="17" fillId="0" borderId="0" xfId="13" applyNumberFormat="1" applyFont="1" applyAlignment="1">
      <alignment horizontal="center" vertical="center"/>
    </xf>
    <xf numFmtId="0" fontId="15" fillId="0" borderId="0" xfId="12" applyNumberFormat="1" applyFont="1" applyAlignment="1">
      <alignment horizontal="center" vertical="center"/>
    </xf>
    <xf numFmtId="0" fontId="6" fillId="0" borderId="0" xfId="8" applyFont="1" applyAlignment="1">
      <alignment horizontal="right" vertical="center" wrapText="1"/>
    </xf>
    <xf numFmtId="44" fontId="7" fillId="0" borderId="0" xfId="8" applyNumberFormat="1" applyFont="1" applyAlignment="1">
      <alignment horizontal="center" vertical="center"/>
    </xf>
    <xf numFmtId="0" fontId="5" fillId="0" borderId="0" xfId="8" applyFont="1" applyAlignment="1">
      <alignment horizontal="right" vertical="center" wrapText="1"/>
    </xf>
    <xf numFmtId="0" fontId="9" fillId="0" borderId="0" xfId="8" applyAlignment="1">
      <alignment horizontal="center" vertical="center" textRotation="90"/>
    </xf>
    <xf numFmtId="0" fontId="4" fillId="0" borderId="0" xfId="8" applyFont="1" applyAlignment="1">
      <alignment horizontal="center" vertical="center" textRotation="90"/>
    </xf>
    <xf numFmtId="170" fontId="4" fillId="8" borderId="1" xfId="13" applyNumberFormat="1" applyFont="1" applyFill="1" applyBorder="1" applyAlignment="1">
      <alignment horizontal="right" vertical="center" wrapText="1"/>
    </xf>
    <xf numFmtId="44" fontId="4" fillId="8" borderId="1" xfId="13" applyFont="1" applyFill="1" applyBorder="1" applyAlignment="1">
      <alignment horizontal="right" vertical="center" wrapText="1"/>
    </xf>
    <xf numFmtId="170" fontId="4" fillId="0" borderId="1" xfId="13" applyNumberFormat="1" applyFont="1" applyBorder="1" applyAlignment="1">
      <alignment horizontal="right" vertical="center" wrapText="1"/>
    </xf>
    <xf numFmtId="44" fontId="4" fillId="0" borderId="1" xfId="13" applyFont="1" applyBorder="1" applyAlignment="1">
      <alignment horizontal="right" vertical="center" wrapText="1"/>
    </xf>
    <xf numFmtId="170" fontId="4" fillId="9" borderId="1" xfId="13" applyNumberFormat="1" applyFont="1" applyFill="1" applyBorder="1" applyAlignment="1">
      <alignment horizontal="right" vertical="center" wrapText="1"/>
    </xf>
    <xf numFmtId="44" fontId="4" fillId="9" borderId="1" xfId="13" applyFont="1" applyFill="1" applyBorder="1" applyAlignment="1">
      <alignment horizontal="right" vertical="center" wrapText="1"/>
    </xf>
    <xf numFmtId="0" fontId="4" fillId="8" borderId="5" xfId="8" applyFont="1" applyFill="1" applyBorder="1" applyAlignment="1">
      <alignment horizontal="right" vertical="center" wrapText="1"/>
    </xf>
    <xf numFmtId="170" fontId="4" fillId="8" borderId="6" xfId="13" applyNumberFormat="1" applyFont="1" applyFill="1" applyBorder="1" applyAlignment="1">
      <alignment horizontal="right" vertical="center" wrapText="1"/>
    </xf>
    <xf numFmtId="44" fontId="4" fillId="8" borderId="6" xfId="13" applyFont="1" applyFill="1" applyBorder="1" applyAlignment="1">
      <alignment horizontal="right" vertical="center" wrapText="1"/>
    </xf>
    <xf numFmtId="44" fontId="4" fillId="8" borderId="7" xfId="13" applyFont="1" applyFill="1" applyBorder="1" applyAlignment="1">
      <alignment horizontal="right" vertical="center" wrapText="1"/>
    </xf>
    <xf numFmtId="0" fontId="4" fillId="0" borderId="8" xfId="8" applyFont="1" applyBorder="1" applyAlignment="1">
      <alignment horizontal="right" vertical="center" wrapText="1"/>
    </xf>
    <xf numFmtId="44" fontId="4" fillId="0" borderId="9" xfId="13" applyFont="1" applyBorder="1" applyAlignment="1">
      <alignment horizontal="right" vertical="center" wrapText="1"/>
    </xf>
    <xf numFmtId="0" fontId="4" fillId="8" borderId="8" xfId="8" applyFont="1" applyFill="1" applyBorder="1" applyAlignment="1">
      <alignment horizontal="right" vertical="center" wrapText="1"/>
    </xf>
    <xf numFmtId="44" fontId="4" fillId="8" borderId="9" xfId="13" applyFont="1" applyFill="1" applyBorder="1" applyAlignment="1">
      <alignment horizontal="right" vertical="center" wrapText="1"/>
    </xf>
    <xf numFmtId="0" fontId="4" fillId="0" borderId="10" xfId="8" applyFont="1" applyBorder="1" applyAlignment="1">
      <alignment horizontal="right" vertical="center" wrapText="1"/>
    </xf>
    <xf numFmtId="170" fontId="4" fillId="0" borderId="11" xfId="13" applyNumberFormat="1" applyFont="1" applyBorder="1" applyAlignment="1">
      <alignment horizontal="right" vertical="center" wrapText="1"/>
    </xf>
    <xf numFmtId="44" fontId="4" fillId="0" borderId="11" xfId="13" applyFont="1" applyBorder="1" applyAlignment="1">
      <alignment horizontal="right" vertical="center" wrapText="1"/>
    </xf>
    <xf numFmtId="44" fontId="4" fillId="0" borderId="12" xfId="13" applyFont="1" applyBorder="1" applyAlignment="1">
      <alignment horizontal="right" vertical="center" wrapText="1"/>
    </xf>
    <xf numFmtId="0" fontId="4" fillId="9" borderId="5" xfId="8" applyFont="1" applyFill="1" applyBorder="1" applyAlignment="1">
      <alignment horizontal="right" vertical="center" wrapText="1"/>
    </xf>
    <xf numFmtId="170" fontId="4" fillId="9" borderId="6" xfId="13" applyNumberFormat="1" applyFont="1" applyFill="1" applyBorder="1" applyAlignment="1">
      <alignment horizontal="right" vertical="center" wrapText="1"/>
    </xf>
    <xf numFmtId="44" fontId="4" fillId="9" borderId="6" xfId="13" applyFont="1" applyFill="1" applyBorder="1" applyAlignment="1">
      <alignment horizontal="right" vertical="center" wrapText="1"/>
    </xf>
    <xf numFmtId="44" fontId="4" fillId="9" borderId="7" xfId="13" applyFont="1" applyFill="1" applyBorder="1" applyAlignment="1">
      <alignment horizontal="right" vertical="center" wrapText="1"/>
    </xf>
    <xf numFmtId="0" fontId="4" fillId="9" borderId="8" xfId="8" applyFont="1" applyFill="1" applyBorder="1" applyAlignment="1">
      <alignment horizontal="right" vertical="center" wrapText="1"/>
    </xf>
    <xf numFmtId="44" fontId="4" fillId="9" borderId="9" xfId="13" applyFont="1" applyFill="1" applyBorder="1" applyAlignment="1">
      <alignment horizontal="right" vertical="center" wrapText="1"/>
    </xf>
    <xf numFmtId="0" fontId="21" fillId="0" borderId="13" xfId="8" applyFont="1" applyBorder="1" applyAlignment="1">
      <alignment horizontal="right" vertical="center" wrapText="1"/>
    </xf>
    <xf numFmtId="170" fontId="21" fillId="0" borderId="13" xfId="13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170" fontId="20" fillId="0" borderId="14" xfId="0" applyNumberFormat="1" applyFont="1" applyBorder="1" applyAlignment="1">
      <alignment horizontal="right" vertical="center" wrapText="1"/>
    </xf>
    <xf numFmtId="44" fontId="20" fillId="0" borderId="14" xfId="0" applyNumberFormat="1" applyFont="1" applyBorder="1" applyAlignment="1">
      <alignment horizontal="right" vertical="center" wrapText="1"/>
    </xf>
    <xf numFmtId="0" fontId="4" fillId="0" borderId="0" xfId="8" applyFont="1" applyAlignment="1">
      <alignment horizontal="right" vertical="center" wrapText="1"/>
    </xf>
    <xf numFmtId="44" fontId="0" fillId="0" borderId="0" xfId="9" quotePrefix="1" applyFont="1" applyAlignment="1">
      <alignment horizontal="left" vertical="center"/>
    </xf>
    <xf numFmtId="0" fontId="20" fillId="0" borderId="15" xfId="8" applyFont="1" applyBorder="1" applyAlignment="1">
      <alignment horizontal="center" vertical="center" wrapText="1"/>
    </xf>
    <xf numFmtId="0" fontId="20" fillId="0" borderId="16" xfId="8" applyFont="1" applyBorder="1" applyAlignment="1">
      <alignment horizontal="center" vertical="center" wrapText="1"/>
    </xf>
    <xf numFmtId="0" fontId="20" fillId="0" borderId="17" xfId="8" applyFont="1" applyBorder="1" applyAlignment="1">
      <alignment horizontal="center" vertical="center" wrapText="1"/>
    </xf>
    <xf numFmtId="0" fontId="3" fillId="0" borderId="0" xfId="8" applyFont="1" applyAlignment="1">
      <alignment horizontal="right" vertical="center" wrapText="1"/>
    </xf>
    <xf numFmtId="44" fontId="0" fillId="11" borderId="18" xfId="9" applyFont="1" applyFill="1" applyBorder="1" applyAlignment="1">
      <alignment horizontal="right" vertical="center"/>
    </xf>
    <xf numFmtId="0" fontId="2" fillId="0" borderId="0" xfId="8" quotePrefix="1" applyFont="1" applyAlignment="1">
      <alignment horizontal="left" vertical="center"/>
    </xf>
    <xf numFmtId="44" fontId="0" fillId="2" borderId="18" xfId="9" applyFont="1" applyFill="1" applyBorder="1" applyAlignment="1">
      <alignment horizontal="right" vertical="center"/>
    </xf>
    <xf numFmtId="44" fontId="0" fillId="2" borderId="20" xfId="9" applyFont="1" applyFill="1" applyBorder="1" applyAlignment="1">
      <alignment horizontal="center" vertical="center"/>
    </xf>
    <xf numFmtId="44" fontId="0" fillId="2" borderId="19" xfId="9" quotePrefix="1" applyFont="1" applyFill="1" applyBorder="1" applyAlignment="1">
      <alignment horizontal="left" vertical="center"/>
    </xf>
    <xf numFmtId="44" fontId="0" fillId="11" borderId="20" xfId="9" applyFont="1" applyFill="1" applyBorder="1" applyAlignment="1">
      <alignment horizontal="center" vertical="center"/>
    </xf>
    <xf numFmtId="44" fontId="0" fillId="11" borderId="19" xfId="9" quotePrefix="1" applyFont="1" applyFill="1" applyBorder="1" applyAlignment="1">
      <alignment horizontal="left" vertical="center"/>
    </xf>
    <xf numFmtId="44" fontId="0" fillId="12" borderId="18" xfId="9" applyFont="1" applyFill="1" applyBorder="1" applyAlignment="1">
      <alignment horizontal="right" vertical="center"/>
    </xf>
    <xf numFmtId="44" fontId="0" fillId="12" borderId="20" xfId="9" applyFont="1" applyFill="1" applyBorder="1" applyAlignment="1">
      <alignment horizontal="center" vertical="center"/>
    </xf>
    <xf numFmtId="44" fontId="0" fillId="12" borderId="19" xfId="9" quotePrefix="1" applyFont="1" applyFill="1" applyBorder="1" applyAlignment="1">
      <alignment horizontal="left" vertical="center"/>
    </xf>
    <xf numFmtId="44" fontId="0" fillId="10" borderId="18" xfId="9" applyFont="1" applyFill="1" applyBorder="1" applyAlignment="1">
      <alignment horizontal="right" vertical="center"/>
    </xf>
    <xf numFmtId="44" fontId="0" fillId="10" borderId="20" xfId="9" applyFont="1" applyFill="1" applyBorder="1" applyAlignment="1">
      <alignment horizontal="center" vertical="center"/>
    </xf>
    <xf numFmtId="44" fontId="0" fillId="10" borderId="19" xfId="9" quotePrefix="1" applyFont="1" applyFill="1" applyBorder="1" applyAlignment="1">
      <alignment horizontal="left" vertical="center"/>
    </xf>
    <xf numFmtId="0" fontId="1" fillId="0" borderId="0" xfId="8" applyFont="1" applyAlignment="1">
      <alignment horizontal="right" vertical="center" wrapText="1"/>
    </xf>
    <xf numFmtId="44" fontId="21" fillId="0" borderId="13" xfId="13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70" fontId="20" fillId="0" borderId="0" xfId="0" applyNumberFormat="1" applyFont="1" applyAlignment="1">
      <alignment horizontal="right" vertical="center" wrapText="1"/>
    </xf>
    <xf numFmtId="44" fontId="20" fillId="0" borderId="0" xfId="0" applyNumberFormat="1" applyFont="1" applyAlignment="1">
      <alignment horizontal="right" vertical="center" wrapText="1"/>
    </xf>
    <xf numFmtId="9" fontId="0" fillId="0" borderId="0" xfId="10" applyFont="1" applyBorder="1" applyAlignment="1">
      <alignment horizontal="center" vertical="center"/>
    </xf>
    <xf numFmtId="44" fontId="0" fillId="0" borderId="0" xfId="9" applyFont="1" applyBorder="1" applyAlignment="1">
      <alignment horizontal="center" vertical="center"/>
    </xf>
    <xf numFmtId="0" fontId="0" fillId="0" borderId="0" xfId="12" applyNumberFormat="1" applyFont="1" applyBorder="1" applyAlignment="1">
      <alignment horizontal="center" vertical="center"/>
    </xf>
    <xf numFmtId="0" fontId="9" fillId="13" borderId="0" xfId="8" applyFill="1" applyAlignment="1">
      <alignment horizontal="right" vertical="center"/>
    </xf>
    <xf numFmtId="2" fontId="3" fillId="13" borderId="0" xfId="8" applyNumberFormat="1" applyFont="1" applyFill="1" applyAlignment="1">
      <alignment horizontal="right" vertical="center"/>
    </xf>
    <xf numFmtId="9" fontId="9" fillId="13" borderId="0" xfId="11" applyFont="1" applyFill="1" applyAlignment="1">
      <alignment horizontal="right" vertical="center"/>
    </xf>
    <xf numFmtId="2" fontId="9" fillId="13" borderId="0" xfId="8" applyNumberFormat="1" applyFill="1" applyAlignment="1">
      <alignment horizontal="right" vertical="center"/>
    </xf>
    <xf numFmtId="0" fontId="6" fillId="13" borderId="0" xfId="8" applyFont="1" applyFill="1" applyAlignment="1">
      <alignment horizontal="left" vertical="center"/>
    </xf>
    <xf numFmtId="10" fontId="9" fillId="0" borderId="0" xfId="11" applyNumberFormat="1" applyFont="1" applyAlignment="1">
      <alignment horizontal="center" vertical="center"/>
    </xf>
    <xf numFmtId="0" fontId="16" fillId="3" borderId="0" xfId="8" applyFont="1" applyFill="1" applyAlignment="1">
      <alignment horizontal="center" vertical="center" textRotation="90"/>
    </xf>
    <xf numFmtId="0" fontId="16" fillId="4" borderId="0" xfId="8" applyFont="1" applyFill="1" applyAlignment="1">
      <alignment horizontal="center" vertical="center" textRotation="90"/>
    </xf>
    <xf numFmtId="0" fontId="4" fillId="6" borderId="2" xfId="8" applyFont="1" applyFill="1" applyBorder="1" applyAlignment="1">
      <alignment horizontal="center" vertical="center" textRotation="90"/>
    </xf>
    <xf numFmtId="0" fontId="9" fillId="6" borderId="3" xfId="8" applyFill="1" applyBorder="1" applyAlignment="1">
      <alignment horizontal="center" vertical="center" textRotation="90"/>
    </xf>
    <xf numFmtId="0" fontId="9" fillId="6" borderId="4" xfId="8" applyFill="1" applyBorder="1" applyAlignment="1">
      <alignment horizontal="center" vertical="center" textRotation="90"/>
    </xf>
    <xf numFmtId="0" fontId="4" fillId="7" borderId="2" xfId="8" applyFont="1" applyFill="1" applyBorder="1" applyAlignment="1">
      <alignment horizontal="center" vertical="center" textRotation="90"/>
    </xf>
    <xf numFmtId="0" fontId="4" fillId="7" borderId="3" xfId="8" applyFont="1" applyFill="1" applyBorder="1" applyAlignment="1">
      <alignment horizontal="center" vertical="center" textRotation="90"/>
    </xf>
    <xf numFmtId="0" fontId="4" fillId="7" borderId="4" xfId="8" applyFont="1" applyFill="1" applyBorder="1" applyAlignment="1">
      <alignment horizontal="center" vertical="center" textRotation="90"/>
    </xf>
  </cellXfs>
  <cellStyles count="14">
    <cellStyle name="Excel Built-in Currency" xfId="1" xr:uid="{00000000-0005-0000-0000-000000000000}"/>
    <cellStyle name="Excel Built-in Hyperlink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1" xfId="5" xr:uid="{00000000-0005-0000-0000-000004000000}"/>
    <cellStyle name="Komma" xfId="12" builtinId="3"/>
    <cellStyle name="Prozent" xfId="11" builtinId="5"/>
    <cellStyle name="Prozent 2" xfId="10" xr:uid="{F1EAC642-A893-4CCC-B127-550EF34F57B8}"/>
    <cellStyle name="Result" xfId="6" xr:uid="{00000000-0005-0000-0000-000005000000}"/>
    <cellStyle name="Result2" xfId="7" xr:uid="{00000000-0005-0000-0000-000006000000}"/>
    <cellStyle name="Standard" xfId="0" builtinId="0" customBuiltin="1"/>
    <cellStyle name="Standard 2" xfId="8" xr:uid="{EF52CA37-8DC2-4C46-8569-7EBDA4E8D612}"/>
    <cellStyle name="Währung" xfId="13" builtinId="4"/>
    <cellStyle name="Währung 2" xfId="9" xr:uid="{BF022326-BF17-4385-A567-6EFAFDFB8BD6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9" formatCode="_-* #,##0.000\ &quot;€&quot;_-;\-* #,##0.0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70" formatCode="_-* #,##0\ &quot;€&quot;_-;\-* #,##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70" formatCode="_-* #,##0\ &quot;€&quot;_-;\-* #,##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70" formatCode="_-* #,##0\ &quot;€&quot;_-;\-* #,##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70" formatCode="_-* #,##0\ &quot;€&quot;_-;\-* #,##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70" formatCode="_-* #,##0\ &quot;€&quot;_-;\-* #,##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70" formatCode="_-* #,##0\ &quot;€&quot;_-;\-* #,##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Honig</a:t>
            </a:r>
            <a:r>
              <a:rPr lang="de-DE" baseline="0"/>
              <a:t> - Preiszusammensetzung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3482391875291007E-2"/>
          <c:y val="0.18370736569321239"/>
          <c:w val="0.58532208739487335"/>
          <c:h val="0.71647297252400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B6-455E-89B6-4CDC088BA1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B6-455E-89B6-4CDC088BA1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0B6-455E-89B6-4CDC088BA1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0B6-455E-89B6-4CDC088BA1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0B6-455E-89B6-4CDC088BA1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0B6-455E-89B6-4CDC088BA1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0B6-455E-89B6-4CDC088BA15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0B6-455E-89B6-4CDC088BA15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0B6-455E-89B6-4CDC088BA15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0B6-455E-89B6-4CDC088BA15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0B6-455E-89B6-4CDC088BA15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0B6-455E-89B6-4CDC088BA15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0B6-455E-89B6-4CDC088BA155}"/>
              </c:ext>
            </c:extLst>
          </c:dPt>
          <c:dLbls>
            <c:dLbl>
              <c:idx val="0"/>
              <c:layout>
                <c:manualLayout>
                  <c:x val="-1.3909118781533662E-2"/>
                  <c:y val="-5.403235987906575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B6-455E-89B6-4CDC088BA155}"/>
                </c:ext>
              </c:extLst>
            </c:dLbl>
            <c:dLbl>
              <c:idx val="1"/>
              <c:layout>
                <c:manualLayout>
                  <c:x val="3.5777312061955231E-2"/>
                  <c:y val="-5.2587262035283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B6-455E-89B6-4CDC088BA155}"/>
                </c:ext>
              </c:extLst>
            </c:dLbl>
            <c:dLbl>
              <c:idx val="2"/>
              <c:layout>
                <c:manualLayout>
                  <c:x val="0.19732507947843791"/>
                  <c:y val="-7.0964749659457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6-455E-89B6-4CDC088BA155}"/>
                </c:ext>
              </c:extLst>
            </c:dLbl>
            <c:dLbl>
              <c:idx val="3"/>
              <c:layout>
                <c:manualLayout>
                  <c:x val="0.1528877961234768"/>
                  <c:y val="-1.41951525697286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36858510222106"/>
                      <c:h val="0.112393634340011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0B6-455E-89B6-4CDC088BA155}"/>
                </c:ext>
              </c:extLst>
            </c:dLbl>
            <c:dLbl>
              <c:idx val="4"/>
              <c:layout>
                <c:manualLayout>
                  <c:x val="0.18180771619319602"/>
                  <c:y val="2.3278381341572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81181893682109"/>
                      <c:h val="0.123595069603641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0B6-455E-89B6-4CDC088BA155}"/>
                </c:ext>
              </c:extLst>
            </c:dLbl>
            <c:dLbl>
              <c:idx val="5"/>
              <c:layout>
                <c:manualLayout>
                  <c:x val="0.12978879470913576"/>
                  <c:y val="7.2285723778198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6-455E-89B6-4CDC088BA155}"/>
                </c:ext>
              </c:extLst>
            </c:dLbl>
            <c:dLbl>
              <c:idx val="6"/>
              <c:layout>
                <c:manualLayout>
                  <c:x val="1.1030538959082013E-2"/>
                  <c:y val="7.08860759493670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B6-455E-89B6-4CDC088BA155}"/>
                </c:ext>
              </c:extLst>
            </c:dLbl>
            <c:dLbl>
              <c:idx val="7"/>
              <c:layout>
                <c:manualLayout>
                  <c:x val="0.1574237395173165"/>
                  <c:y val="-1.0126582278481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B6-455E-89B6-4CDC088BA155}"/>
                </c:ext>
              </c:extLst>
            </c:dLbl>
            <c:dLbl>
              <c:idx val="8"/>
              <c:layout>
                <c:manualLayout>
                  <c:x val="3.4719991684094766E-2"/>
                  <c:y val="-6.43051264161601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B6-455E-89B6-4CDC088BA155}"/>
                </c:ext>
              </c:extLst>
            </c:dLbl>
            <c:dLbl>
              <c:idx val="9"/>
              <c:layout>
                <c:manualLayout>
                  <c:x val="0.24343464283469735"/>
                  <c:y val="-4.0370244858633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6-455E-89B6-4CDC088BA155}"/>
                </c:ext>
              </c:extLst>
            </c:dLbl>
            <c:dLbl>
              <c:idx val="10"/>
              <c:layout>
                <c:manualLayout>
                  <c:x val="0.12862187139617828"/>
                  <c:y val="-9.8884348317219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6-455E-89B6-4CDC088BA155}"/>
                </c:ext>
              </c:extLst>
            </c:dLbl>
            <c:dLbl>
              <c:idx val="11"/>
              <c:layout>
                <c:manualLayout>
                  <c:x val="4.772801132544164E-2"/>
                  <c:y val="4.93668463079132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6-455E-89B6-4CDC088BA155}"/>
                </c:ext>
              </c:extLst>
            </c:dLbl>
            <c:dLbl>
              <c:idx val="12"/>
              <c:layout>
                <c:manualLayout>
                  <c:x val="1.2409705339902842E-2"/>
                  <c:y val="0.28126329778397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B6-455E-89B6-4CDC088BA15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(Honigpreis!$B$50,Honigpreis!$B$58,Honigpreis!$B$72,Honigpreis!$B$80,Honigpreis!$B$95,Honigpreis!$B$104,Honigpreis!$B$115,Honigpreis!$B$123,Honigpreis!$B$131,Honigpreis!$B$137,Honigpreis!$B$142,Honigpreis!$B$148,Honigpreis!$B$151)</c:f>
              <c:strCache>
                <c:ptCount val="13"/>
                <c:pt idx="0">
                  <c:v>Völker fix</c:v>
                </c:pt>
                <c:pt idx="1">
                  <c:v>Werkzeuge</c:v>
                </c:pt>
                <c:pt idx="2">
                  <c:v>Zucht (fix)</c:v>
                </c:pt>
                <c:pt idx="3">
                  <c:v>Honigernte</c:v>
                </c:pt>
                <c:pt idx="4">
                  <c:v>Honigverarbeitung</c:v>
                </c:pt>
                <c:pt idx="5">
                  <c:v>Weiterbildung/Sonstiges</c:v>
                </c:pt>
                <c:pt idx="6">
                  <c:v>kalk. Kosten</c:v>
                </c:pt>
                <c:pt idx="7">
                  <c:v>Völker variabel</c:v>
                </c:pt>
                <c:pt idx="8">
                  <c:v>Zucht (variabel)</c:v>
                </c:pt>
                <c:pt idx="9">
                  <c:v>Varroa-Mittel</c:v>
                </c:pt>
                <c:pt idx="10">
                  <c:v>Honigverkauf</c:v>
                </c:pt>
                <c:pt idx="11">
                  <c:v>Fahrtkosten</c:v>
                </c:pt>
                <c:pt idx="12">
                  <c:v>Arbeitszeit</c:v>
                </c:pt>
              </c:strCache>
            </c:strRef>
          </c:cat>
          <c:val>
            <c:numRef>
              <c:f>(Honigpreis!$L$50,Honigpreis!$L$58,Honigpreis!$L$72,Honigpreis!$L$80,Honigpreis!$L$95,Honigpreis!$L$104,Honigpreis!$L$115,Honigpreis!$L$123,Honigpreis!$L$131,Honigpreis!$L$137,Honigpreis!$L$142,Honigpreis!$L$148,Honigpreis!$L$151)</c:f>
              <c:numCache>
                <c:formatCode>_-* #,##0.000\ "€"_-;\-* #,##0.000\ "€"_-;_-* "-"??\ "€"_-;_-@_-</c:formatCode>
                <c:ptCount val="13"/>
                <c:pt idx="0">
                  <c:v>0.69901741363211956</c:v>
                </c:pt>
                <c:pt idx="1">
                  <c:v>0.15057142857142858</c:v>
                </c:pt>
                <c:pt idx="2">
                  <c:v>0.10405555555555555</c:v>
                </c:pt>
                <c:pt idx="3">
                  <c:v>0.23992889822595706</c:v>
                </c:pt>
                <c:pt idx="4">
                  <c:v>9.7511671335200764E-2</c:v>
                </c:pt>
                <c:pt idx="5">
                  <c:v>0.26445999999999997</c:v>
                </c:pt>
                <c:pt idx="6" formatCode="_(&quot;€&quot;* #,##0.00_);_(&quot;€&quot;* \(#,##0.00\);_(&quot;€&quot;* &quot;-&quot;??_);_(@_)">
                  <c:v>0.418698902054155</c:v>
                </c:pt>
                <c:pt idx="7">
                  <c:v>0.91566666666666674</c:v>
                </c:pt>
                <c:pt idx="8">
                  <c:v>0.22966666666666669</c:v>
                </c:pt>
                <c:pt idx="9">
                  <c:v>4.6249999999999999E-2</c:v>
                </c:pt>
                <c:pt idx="10">
                  <c:v>0.31849999999999995</c:v>
                </c:pt>
                <c:pt idx="11">
                  <c:v>0.12666666666666668</c:v>
                </c:pt>
                <c:pt idx="1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0B6-455E-89B6-4CDC088BA15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8100000" scaled="1"/>
      <a:tileRect/>
    </a:gra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Honig</a:t>
            </a:r>
            <a:r>
              <a:rPr lang="de-DE" baseline="0"/>
              <a:t> - Preiszusammensetzung</a:t>
            </a:r>
          </a:p>
          <a:p>
            <a:pPr>
              <a:defRPr/>
            </a:pPr>
            <a:r>
              <a:rPr lang="de-DE" sz="1000" baseline="0"/>
              <a:t>ohne Arbeitszeit, kalk. Kosten</a:t>
            </a:r>
            <a:endParaRPr lang="de-D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EB-411D-8570-EC41F7DDA4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EB-411D-8570-EC41F7DDA4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EB-411D-8570-EC41F7DDA4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EB-411D-8570-EC41F7DDA4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4EB-411D-8570-EC41F7DDA4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4EB-411D-8570-EC41F7DDA4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4EB-411D-8570-EC41F7DDA4B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4EB-411D-8570-EC41F7DDA4B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4EB-411D-8570-EC41F7DDA4B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4EB-411D-8570-EC41F7DDA4B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4EB-411D-8570-EC41F7DDA4B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4EB-411D-8570-EC41F7DDA4B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54EB-411D-8570-EC41F7DDA4BA}"/>
              </c:ext>
            </c:extLst>
          </c:dPt>
          <c:dLbls>
            <c:dLbl>
              <c:idx val="0"/>
              <c:layout>
                <c:manualLayout>
                  <c:x val="-1.6666666666666666E-2"/>
                  <c:y val="-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B-411D-8570-EC41F7DDA4BA}"/>
                </c:ext>
              </c:extLst>
            </c:dLbl>
            <c:dLbl>
              <c:idx val="1"/>
              <c:layout>
                <c:manualLayout>
                  <c:x val="3.3224651409399161E-2"/>
                  <c:y val="-7.95914671928637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B-411D-8570-EC41F7DDA4BA}"/>
                </c:ext>
              </c:extLst>
            </c:dLbl>
            <c:dLbl>
              <c:idx val="2"/>
              <c:layout>
                <c:manualLayout>
                  <c:x val="4.8145006762783625E-2"/>
                  <c:y val="-4.0585032011185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B-411D-8570-EC41F7DDA4BA}"/>
                </c:ext>
              </c:extLst>
            </c:dLbl>
            <c:dLbl>
              <c:idx val="3"/>
              <c:layout>
                <c:manualLayout>
                  <c:x val="6.0329871150576128E-2"/>
                  <c:y val="-4.11993719790113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9479414284016"/>
                      <c:h val="0.119144689192331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4EB-411D-8570-EC41F7DDA4BA}"/>
                </c:ext>
              </c:extLst>
            </c:dLbl>
            <c:dLbl>
              <c:idx val="4"/>
              <c:layout>
                <c:manualLayout>
                  <c:x val="9.7566515313307109E-2"/>
                  <c:y val="-1.2376790918176398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38836296898913"/>
                      <c:h val="0.13372165188212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4EB-411D-8570-EC41F7DDA4BA}"/>
                </c:ext>
              </c:extLst>
            </c:dLbl>
            <c:dLbl>
              <c:idx val="5"/>
              <c:layout>
                <c:manualLayout>
                  <c:x val="-0.3174297991402017"/>
                  <c:y val="-8.439217249742633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01458117323207"/>
                      <c:h val="0.107521711684773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4EB-411D-8570-EC41F7DDA4B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54EB-411D-8570-EC41F7DDA4BA}"/>
                </c:ext>
              </c:extLst>
            </c:dLbl>
            <c:dLbl>
              <c:idx val="7"/>
              <c:layout>
                <c:manualLayout>
                  <c:x val="-7.7848526081835297E-3"/>
                  <c:y val="2.02531645569620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EB-411D-8570-EC41F7DDA4BA}"/>
                </c:ext>
              </c:extLst>
            </c:dLbl>
            <c:dLbl>
              <c:idx val="8"/>
              <c:layout>
                <c:manualLayout>
                  <c:x val="-1.4971528600829441E-2"/>
                  <c:y val="3.69606963686500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EB-411D-8570-EC41F7DDA4BA}"/>
                </c:ext>
              </c:extLst>
            </c:dLbl>
            <c:dLbl>
              <c:idx val="9"/>
              <c:layout>
                <c:manualLayout>
                  <c:x val="-0.1184645238462121"/>
                  <c:y val="1.36381939599321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EB-411D-8570-EC41F7DDA4BA}"/>
                </c:ext>
              </c:extLst>
            </c:dLbl>
            <c:dLbl>
              <c:idx val="10"/>
              <c:layout>
                <c:manualLayout>
                  <c:x val="-0.12835049661653058"/>
                  <c:y val="1.71157845775607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EB-411D-8570-EC41F7DDA4BA}"/>
                </c:ext>
              </c:extLst>
            </c:dLbl>
            <c:dLbl>
              <c:idx val="11"/>
              <c:layout>
                <c:manualLayout>
                  <c:x val="5.6605386997178091E-2"/>
                  <c:y val="-1.77645548135985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EB-411D-8570-EC41F7DDA4BA}"/>
                </c:ext>
              </c:extLst>
            </c:dLbl>
            <c:dLbl>
              <c:idx val="12"/>
              <c:layout>
                <c:manualLayout>
                  <c:x val="3.4504299035029051E-2"/>
                  <c:y val="0.207001636810432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EB-411D-8570-EC41F7DDA4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(Honigpreis!$B$50,Honigpreis!$B$58,Honigpreis!$B$72,Honigpreis!$B$80,Honigpreis!$B$95,Honigpreis!$B$104,Honigpreis!$B$123,Honigpreis!$B$131,Honigpreis!$B$137,Honigpreis!$B$142,Honigpreis!$B$148)</c:f>
              <c:strCache>
                <c:ptCount val="11"/>
                <c:pt idx="0">
                  <c:v>Völker fix</c:v>
                </c:pt>
                <c:pt idx="1">
                  <c:v>Werkzeuge</c:v>
                </c:pt>
                <c:pt idx="2">
                  <c:v>Zucht (fix)</c:v>
                </c:pt>
                <c:pt idx="3">
                  <c:v>Honigernte</c:v>
                </c:pt>
                <c:pt idx="4">
                  <c:v>Honigverarbeitung</c:v>
                </c:pt>
                <c:pt idx="5">
                  <c:v>Weiterbildung/Sonstiges</c:v>
                </c:pt>
                <c:pt idx="6">
                  <c:v>Völker variabel</c:v>
                </c:pt>
                <c:pt idx="7">
                  <c:v>Zucht (variabel)</c:v>
                </c:pt>
                <c:pt idx="8">
                  <c:v>Varroa-Mittel</c:v>
                </c:pt>
                <c:pt idx="9">
                  <c:v>Honigverkauf</c:v>
                </c:pt>
                <c:pt idx="10">
                  <c:v>Fahrtkosten</c:v>
                </c:pt>
              </c:strCache>
            </c:strRef>
          </c:cat>
          <c:val>
            <c:numRef>
              <c:f>(Honigpreis!$L$50,Honigpreis!$L$58,Honigpreis!$L$72,Honigpreis!$L$80,Honigpreis!$L$95,Honigpreis!$L$104,Honigpreis!$L$123,Honigpreis!$L$131,Honigpreis!$L$137,Honigpreis!$L$142,Honigpreis!$L$148)</c:f>
              <c:numCache>
                <c:formatCode>_-* #,##0.000\ "€"_-;\-* #,##0.000\ "€"_-;_-* "-"??\ "€"_-;_-@_-</c:formatCode>
                <c:ptCount val="11"/>
                <c:pt idx="0">
                  <c:v>0.69901741363211956</c:v>
                </c:pt>
                <c:pt idx="1">
                  <c:v>0.15057142857142858</c:v>
                </c:pt>
                <c:pt idx="2">
                  <c:v>0.10405555555555555</c:v>
                </c:pt>
                <c:pt idx="3">
                  <c:v>0.23992889822595706</c:v>
                </c:pt>
                <c:pt idx="4">
                  <c:v>9.7511671335200764E-2</c:v>
                </c:pt>
                <c:pt idx="5">
                  <c:v>0.26445999999999997</c:v>
                </c:pt>
                <c:pt idx="6">
                  <c:v>0.91566666666666674</c:v>
                </c:pt>
                <c:pt idx="7">
                  <c:v>0.22966666666666669</c:v>
                </c:pt>
                <c:pt idx="8">
                  <c:v>4.6249999999999999E-2</c:v>
                </c:pt>
                <c:pt idx="9">
                  <c:v>0.31849999999999995</c:v>
                </c:pt>
                <c:pt idx="10">
                  <c:v>0.12666666666666668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4EB-411D-8570-EC41F7DDA4B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8100000" scaled="1"/>
      <a:tileRect/>
    </a:gra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178594</xdr:rowOff>
    </xdr:from>
    <xdr:to>
      <xdr:col>5</xdr:col>
      <xdr:colOff>85948</xdr:colOff>
      <xdr:row>46</xdr:row>
      <xdr:rowOff>3750469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3EDDA3A-F558-40FB-8E0B-8F7A5F701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205901</xdr:colOff>
      <xdr:row>46</xdr:row>
      <xdr:rowOff>0</xdr:rowOff>
    </xdr:from>
    <xdr:to>
      <xdr:col>11</xdr:col>
      <xdr:colOff>714368</xdr:colOff>
      <xdr:row>46</xdr:row>
      <xdr:rowOff>3762375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40BC587-CF3C-4A5D-88FB-18D85769B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A4561B-89D8-4EBD-986F-84A5FD8B82F7}" name="Tabelle1" displayName="Tabelle1" ref="B2:D21" totalsRowShown="0" headerRowDxfId="27">
  <autoFilter ref="B2:D21" xr:uid="{6612A614-1E72-4427-B5DB-0646B1B82222}"/>
  <tableColumns count="3">
    <tableColumn id="1" xr3:uid="{D1F5BD9D-AB39-438E-A0C8-A0770AE3FC9D}" name="Bezeichnung" dataDxfId="26" dataCellStyle="Standard 2"/>
    <tableColumn id="2" xr3:uid="{CEB58FFF-2B78-4515-908B-B2754E4A3FD0}" name="Menge" dataDxfId="25" dataCellStyle="Standard 2"/>
    <tableColumn id="3" xr3:uid="{CCB92BA3-B881-4177-8967-9F130AC4815F}" name="Einheit" dataDxfId="24" dataCellStyle="Währung 2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5DCA14-76DA-4AC6-AFC3-E2AE687C6AB7}" name="Tabelle2" displayName="Tabelle2" ref="B49:L158" totalsRowCount="1" headerRowDxfId="23" dataDxfId="22" headerRowCellStyle="Währung 2" dataCellStyle="Währung 2">
  <autoFilter ref="B49:L157" xr:uid="{36D976FA-ADD9-4828-BE54-FA299E1A237C}"/>
  <tableColumns count="11">
    <tableColumn id="1" xr3:uid="{CB6FE8B6-C3E1-4DBA-8507-7DA25B571409}" name="Bezeichnung" dataDxfId="21" totalsRowDxfId="20" dataCellStyle="Standard 2"/>
    <tableColumn id="2" xr3:uid="{A4CF4696-B816-4F1B-85A7-DC1111223CDE}" name="Einheit" dataDxfId="19" totalsRowDxfId="18" dataCellStyle="Standard 2"/>
    <tableColumn id="3" xr3:uid="{C28F7044-F86E-4132-B953-6656CC56A5AB}" name="€/Einheit" dataDxfId="17" totalsRowDxfId="16" dataCellStyle="Währung 2"/>
    <tableColumn id="4" xr3:uid="{298CA487-CF58-43A6-BDF6-BF3DD4907BCE}" name="Menge" totalsRowLabel=" Ergebnis " dataDxfId="15" totalsRowDxfId="14" dataCellStyle="Standard 2"/>
    <tableColumn id="5" xr3:uid="{2C19A86E-A572-4422-8630-93CC1045C6D2}" name="GP €" totalsRowFunction="sum" dataDxfId="13" totalsRowDxfId="12" dataCellStyle="Währung 2"/>
    <tableColumn id="10" xr3:uid="{B508BE24-8C32-486F-97AA-D616893C4139}" name="Nutzungs-jahre" dataDxfId="11" totalsRowDxfId="10" dataCellStyle="Komma"/>
    <tableColumn id="6" xr3:uid="{F2B7B411-2BEF-425F-AA59-1471A591ABA4}" name="AfA" dataDxfId="9" totalsRowDxfId="8" dataCellStyle="Prozent 2"/>
    <tableColumn id="7" xr3:uid="{BFB06D4B-D53A-4C4F-AA6A-B1855296C120}" name="€/Jahr" totalsRowFunction="sum" dataDxfId="7" totalsRowDxfId="6" dataCellStyle="Währung 2"/>
    <tableColumn id="8" xr3:uid="{624B03CE-AC5A-4088-859F-5C4A9AFBD0F3}" name="€/Volk" totalsRowFunction="sum" dataDxfId="5" totalsRowDxfId="4" dataCellStyle="Währung 2"/>
    <tableColumn id="9" xr3:uid="{CEC80FE7-AEA6-40E2-B6DA-140077434CF9}" name="€/Kg Honig" totalsRowFunction="sum" dataDxfId="3" totalsRowDxfId="2" dataCellStyle="Währung 2"/>
    <tableColumn id="11" xr3:uid="{40618E03-8B55-437A-8D79-45D107E913B4}" name="€/500g-Glas" totalsRowFunction="custom" dataDxfId="1" totalsRowDxfId="0" dataCellStyle="Währung 2">
      <calculatedColumnFormula>+Tabelle2[[#This Row],[€/Kg Honig]]/2</calculatedColumnFormula>
      <totalsRowFormula>+Tabelle2[[#Totals],[€/Kg Honig]]/2</totalsRow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29031-A7A2-4176-9B38-4AD670C0DE9C}">
  <sheetPr>
    <pageSetUpPr fitToPage="1"/>
  </sheetPr>
  <dimension ref="A1:M158"/>
  <sheetViews>
    <sheetView tabSelected="1" zoomScale="85" zoomScaleNormal="85" workbookViewId="0">
      <selection activeCell="P115" sqref="P115"/>
    </sheetView>
  </sheetViews>
  <sheetFormatPr baseColWidth="10" defaultRowHeight="15" x14ac:dyDescent="0.25"/>
  <cols>
    <col min="1" max="1" width="5.7109375" style="2" customWidth="1"/>
    <col min="2" max="2" width="30.28515625" style="5" customWidth="1"/>
    <col min="3" max="3" width="11.28515625" style="2" customWidth="1"/>
    <col min="4" max="4" width="10" style="3" customWidth="1"/>
    <col min="5" max="5" width="10.42578125" style="2" customWidth="1"/>
    <col min="6" max="6" width="10.5703125" style="3" customWidth="1"/>
    <col min="7" max="7" width="9.42578125" style="31" customWidth="1"/>
    <col min="8" max="8" width="9.5703125" style="4" bestFit="1" customWidth="1"/>
    <col min="9" max="9" width="11" style="3" customWidth="1"/>
    <col min="10" max="10" width="10" style="3" customWidth="1"/>
    <col min="11" max="11" width="10.7109375" style="3" customWidth="1"/>
    <col min="12" max="12" width="11.7109375" style="2" customWidth="1"/>
    <col min="13" max="16384" width="11.42578125" style="2"/>
  </cols>
  <sheetData>
    <row r="1" spans="2:13" x14ac:dyDescent="0.25">
      <c r="B1" s="116" t="s">
        <v>102</v>
      </c>
    </row>
    <row r="2" spans="2:13" x14ac:dyDescent="0.25">
      <c r="B2" s="1" t="s">
        <v>0</v>
      </c>
      <c r="C2" s="2" t="s">
        <v>61</v>
      </c>
      <c r="D2" s="3" t="s">
        <v>38</v>
      </c>
      <c r="E2" s="26"/>
    </row>
    <row r="3" spans="2:13" x14ac:dyDescent="0.25">
      <c r="B3" s="28" t="s">
        <v>77</v>
      </c>
      <c r="C3" s="112">
        <v>10</v>
      </c>
      <c r="D3" s="42" t="s">
        <v>34</v>
      </c>
      <c r="E3" s="26"/>
    </row>
    <row r="4" spans="2:13" x14ac:dyDescent="0.25">
      <c r="B4" s="53" t="s">
        <v>125</v>
      </c>
      <c r="C4" s="43">
        <f>+ROUNDUP(C3*0.5,0)</f>
        <v>5</v>
      </c>
      <c r="D4" s="42" t="s">
        <v>34</v>
      </c>
      <c r="E4" s="26"/>
    </row>
    <row r="5" spans="2:13" x14ac:dyDescent="0.25">
      <c r="B5" s="38" t="s">
        <v>85</v>
      </c>
      <c r="C5" s="112">
        <v>2</v>
      </c>
      <c r="D5" s="42" t="s">
        <v>34</v>
      </c>
      <c r="E5" s="26"/>
    </row>
    <row r="6" spans="2:13" x14ac:dyDescent="0.25">
      <c r="B6" s="39" t="s">
        <v>86</v>
      </c>
      <c r="C6" s="112">
        <v>4</v>
      </c>
      <c r="D6" s="42" t="s">
        <v>87</v>
      </c>
      <c r="E6" s="26"/>
    </row>
    <row r="7" spans="2:13" x14ac:dyDescent="0.25">
      <c r="B7" s="5" t="s">
        <v>35</v>
      </c>
      <c r="C7" s="112">
        <v>150</v>
      </c>
      <c r="D7" s="42" t="s">
        <v>56</v>
      </c>
      <c r="E7" s="26"/>
    </row>
    <row r="8" spans="2:13" x14ac:dyDescent="0.25">
      <c r="B8" s="5" t="s">
        <v>46</v>
      </c>
      <c r="C8" s="112">
        <v>30</v>
      </c>
      <c r="D8" s="42" t="s">
        <v>45</v>
      </c>
      <c r="E8" s="25" t="s">
        <v>81</v>
      </c>
      <c r="F8" s="25"/>
    </row>
    <row r="9" spans="2:13" x14ac:dyDescent="0.25">
      <c r="B9" s="5" t="s">
        <v>44</v>
      </c>
      <c r="C9" s="43">
        <f>+C3*C8</f>
        <v>300</v>
      </c>
      <c r="D9" s="42" t="s">
        <v>43</v>
      </c>
      <c r="E9" s="26"/>
    </row>
    <row r="10" spans="2:13" x14ac:dyDescent="0.25">
      <c r="B10" s="5" t="s">
        <v>42</v>
      </c>
      <c r="C10" s="112">
        <v>10</v>
      </c>
      <c r="D10" s="42" t="s">
        <v>120</v>
      </c>
      <c r="E10" s="26"/>
    </row>
    <row r="11" spans="2:13" x14ac:dyDescent="0.25">
      <c r="B11" s="51" t="s">
        <v>118</v>
      </c>
      <c r="C11" s="112">
        <v>0.05</v>
      </c>
      <c r="D11" s="42" t="s">
        <v>119</v>
      </c>
      <c r="E11" s="26"/>
    </row>
    <row r="12" spans="2:13" ht="30" x14ac:dyDescent="0.25">
      <c r="B12" s="51" t="s">
        <v>121</v>
      </c>
      <c r="C12" s="112">
        <f>+C3*1.5</f>
        <v>15</v>
      </c>
      <c r="D12" s="42" t="s">
        <v>41</v>
      </c>
      <c r="E12" s="26"/>
    </row>
    <row r="13" spans="2:13" x14ac:dyDescent="0.25">
      <c r="B13" s="90" t="s">
        <v>143</v>
      </c>
      <c r="C13" s="113">
        <f>0.19*2</f>
        <v>0.38</v>
      </c>
      <c r="D13" s="42" t="s">
        <v>67</v>
      </c>
      <c r="E13" s="92" t="s">
        <v>151</v>
      </c>
      <c r="M13" s="117"/>
    </row>
    <row r="14" spans="2:13" x14ac:dyDescent="0.25">
      <c r="B14" s="39" t="s">
        <v>104</v>
      </c>
      <c r="C14" s="114">
        <v>0.3</v>
      </c>
      <c r="D14" s="42"/>
      <c r="E14" s="26"/>
    </row>
    <row r="15" spans="2:13" x14ac:dyDescent="0.25">
      <c r="B15" s="85" t="s">
        <v>137</v>
      </c>
      <c r="C15" s="112">
        <v>60</v>
      </c>
      <c r="D15" s="42" t="s">
        <v>87</v>
      </c>
      <c r="E15" s="26"/>
    </row>
    <row r="16" spans="2:13" x14ac:dyDescent="0.25">
      <c r="B16" s="85" t="s">
        <v>138</v>
      </c>
      <c r="C16" s="112">
        <v>2</v>
      </c>
      <c r="D16" s="86" t="s">
        <v>139</v>
      </c>
      <c r="E16" s="26"/>
    </row>
    <row r="17" spans="1:11" x14ac:dyDescent="0.25">
      <c r="B17" s="51" t="s">
        <v>122</v>
      </c>
      <c r="C17" s="115">
        <v>15</v>
      </c>
      <c r="D17" s="42" t="s">
        <v>40</v>
      </c>
      <c r="E17" s="27" t="str">
        <f>"--&gt; " &amp; ROUND(SUM(L152:L154)/Tabelle2[[#Totals],[€/500g-Glas]]*100,0) &amp; "% der Kosten"</f>
        <v>--&gt; 55% der Kosten</v>
      </c>
      <c r="K17" s="2"/>
    </row>
    <row r="18" spans="1:11" x14ac:dyDescent="0.25">
      <c r="B18" s="51" t="s">
        <v>123</v>
      </c>
      <c r="C18" s="112">
        <v>4</v>
      </c>
      <c r="D18" s="42" t="s">
        <v>94</v>
      </c>
      <c r="E18" s="27"/>
      <c r="K18" s="2"/>
    </row>
    <row r="19" spans="1:11" x14ac:dyDescent="0.25">
      <c r="B19" s="51" t="s">
        <v>88</v>
      </c>
      <c r="C19" s="112">
        <v>1</v>
      </c>
      <c r="D19" s="42" t="s">
        <v>39</v>
      </c>
      <c r="E19" s="26"/>
    </row>
    <row r="20" spans="1:11" x14ac:dyDescent="0.25">
      <c r="B20" s="5" t="s">
        <v>146</v>
      </c>
      <c r="C20" s="112">
        <v>2.5</v>
      </c>
      <c r="D20" s="42" t="s">
        <v>148</v>
      </c>
      <c r="E20" s="26"/>
    </row>
    <row r="21" spans="1:11" x14ac:dyDescent="0.25">
      <c r="B21" s="5" t="s">
        <v>147</v>
      </c>
      <c r="C21" s="112">
        <v>1</v>
      </c>
      <c r="D21" s="42" t="s">
        <v>148</v>
      </c>
      <c r="E21" s="26"/>
    </row>
    <row r="23" spans="1:11" x14ac:dyDescent="0.25">
      <c r="B23" s="104" t="s">
        <v>154</v>
      </c>
    </row>
    <row r="24" spans="1:11" x14ac:dyDescent="0.25">
      <c r="B24" s="93" t="s">
        <v>155</v>
      </c>
      <c r="C24" s="94">
        <f>Tabelle2[[#Totals],[€/500g-Glas]]</f>
        <v>8.1109938693744148</v>
      </c>
      <c r="D24" s="95" t="s">
        <v>153</v>
      </c>
      <c r="E24" s="52"/>
      <c r="H24" s="12"/>
      <c r="I24" s="13"/>
      <c r="J24" s="2"/>
      <c r="K24" s="2"/>
    </row>
    <row r="25" spans="1:11" x14ac:dyDescent="0.25">
      <c r="B25" s="91" t="s">
        <v>149</v>
      </c>
      <c r="C25" s="96">
        <f>Tabelle2[[#Totals],[€/500g-Glas]]-SUM(L152:L154)</f>
        <v>3.6109938693744148</v>
      </c>
      <c r="D25" s="97" t="s">
        <v>153</v>
      </c>
      <c r="E25" s="44"/>
      <c r="H25" s="12"/>
      <c r="I25" s="13"/>
      <c r="J25" s="2"/>
      <c r="K25" s="2"/>
    </row>
    <row r="26" spans="1:11" x14ac:dyDescent="0.25">
      <c r="B26" s="98" t="s">
        <v>150</v>
      </c>
      <c r="C26" s="99">
        <f>Tabelle2[[#Totals],[€/500g-Glas]]-SUM(L152:L154,L116:L119)</f>
        <v>3.1922949673202599</v>
      </c>
      <c r="D26" s="100" t="s">
        <v>153</v>
      </c>
      <c r="E26" s="44"/>
      <c r="H26" s="12"/>
      <c r="I26" s="13"/>
      <c r="J26" s="2"/>
      <c r="K26" s="2"/>
    </row>
    <row r="27" spans="1:11" x14ac:dyDescent="0.25">
      <c r="B27" s="101" t="s">
        <v>152</v>
      </c>
      <c r="C27" s="102">
        <f>L157</f>
        <v>1.6367500000000001</v>
      </c>
      <c r="D27" s="103" t="s">
        <v>153</v>
      </c>
      <c r="E27" s="44"/>
      <c r="H27" s="12"/>
      <c r="I27" s="13"/>
      <c r="J27" s="2"/>
      <c r="K27" s="2"/>
    </row>
    <row r="28" spans="1:11" ht="15.75" thickBot="1" x14ac:dyDescent="0.3"/>
    <row r="29" spans="1:11" s="1" customFormat="1" ht="30.75" thickBot="1" x14ac:dyDescent="0.3">
      <c r="B29" s="87" t="s">
        <v>0</v>
      </c>
      <c r="C29" s="88" t="s">
        <v>62</v>
      </c>
      <c r="D29" s="88" t="s">
        <v>64</v>
      </c>
      <c r="E29" s="88" t="s">
        <v>58</v>
      </c>
      <c r="F29" s="88" t="s">
        <v>59</v>
      </c>
      <c r="G29" s="89" t="s">
        <v>76</v>
      </c>
      <c r="H29" s="35"/>
      <c r="I29" s="35"/>
    </row>
    <row r="30" spans="1:11" x14ac:dyDescent="0.25">
      <c r="A30" s="120" t="s">
        <v>36</v>
      </c>
      <c r="B30" s="62" t="str">
        <f>B50</f>
        <v>Völker fix</v>
      </c>
      <c r="C30" s="63">
        <f>F50</f>
        <v>6636.1567226890757</v>
      </c>
      <c r="D30" s="63">
        <f>I50</f>
        <v>419.41</v>
      </c>
      <c r="E30" s="63">
        <f>J50</f>
        <v>41.941044817927171</v>
      </c>
      <c r="F30" s="64">
        <f>K50</f>
        <v>1.3980348272642391</v>
      </c>
      <c r="G30" s="65">
        <f>L50</f>
        <v>0.69901741363211956</v>
      </c>
      <c r="H30" s="2"/>
      <c r="I30" s="2"/>
      <c r="J30" s="2"/>
      <c r="K30" s="2"/>
    </row>
    <row r="31" spans="1:11" x14ac:dyDescent="0.25">
      <c r="A31" s="121"/>
      <c r="B31" s="66" t="str">
        <f>B58</f>
        <v>Werkzeuge</v>
      </c>
      <c r="C31" s="58">
        <f>F58</f>
        <v>851.26050420168076</v>
      </c>
      <c r="D31" s="58">
        <f>I58</f>
        <v>90.342857142857142</v>
      </c>
      <c r="E31" s="58">
        <f>J58</f>
        <v>9.0342857142857156</v>
      </c>
      <c r="F31" s="59">
        <f>K58</f>
        <v>0.30114285714285716</v>
      </c>
      <c r="G31" s="67">
        <f>L58</f>
        <v>0.15057142857142858</v>
      </c>
      <c r="H31" s="2"/>
      <c r="I31" s="2"/>
      <c r="J31" s="2"/>
      <c r="K31" s="2"/>
    </row>
    <row r="32" spans="1:11" x14ac:dyDescent="0.25">
      <c r="A32" s="121"/>
      <c r="B32" s="66" t="str">
        <f>B72</f>
        <v>Zucht (fix)</v>
      </c>
      <c r="C32" s="58">
        <f>F72</f>
        <v>240.6</v>
      </c>
      <c r="D32" s="58">
        <f>I72</f>
        <v>62.433333333333337</v>
      </c>
      <c r="E32" s="58">
        <f>J72</f>
        <v>6.2433333333333341</v>
      </c>
      <c r="F32" s="59">
        <f>K72</f>
        <v>0.20811111111111111</v>
      </c>
      <c r="G32" s="67">
        <f>L72</f>
        <v>0.10405555555555555</v>
      </c>
      <c r="H32" s="2"/>
      <c r="I32" s="2"/>
      <c r="J32" s="2"/>
      <c r="K32" s="2"/>
    </row>
    <row r="33" spans="1:11" x14ac:dyDescent="0.25">
      <c r="A33" s="121"/>
      <c r="B33" s="68" t="str">
        <f>B80</f>
        <v>Honigernte</v>
      </c>
      <c r="C33" s="56">
        <f>F80</f>
        <v>2951.3193277310929</v>
      </c>
      <c r="D33" s="56">
        <f>I80</f>
        <v>143.95733893557423</v>
      </c>
      <c r="E33" s="56">
        <f>J80</f>
        <v>14.395733893557422</v>
      </c>
      <c r="F33" s="57">
        <f>K80</f>
        <v>0.47985779645191412</v>
      </c>
      <c r="G33" s="69">
        <f>L80</f>
        <v>0.23992889822595706</v>
      </c>
      <c r="H33" s="2"/>
      <c r="I33" s="2"/>
      <c r="J33" s="2"/>
      <c r="K33" s="2"/>
    </row>
    <row r="34" spans="1:11" x14ac:dyDescent="0.25">
      <c r="A34" s="121"/>
      <c r="B34" s="66" t="str">
        <f>B95</f>
        <v>Honigverarbeitung</v>
      </c>
      <c r="C34" s="58">
        <f>F95</f>
        <v>730.58823529411768</v>
      </c>
      <c r="D34" s="58">
        <f>I95</f>
        <v>58.507002801120457</v>
      </c>
      <c r="E34" s="58">
        <f>J95</f>
        <v>5.8507002801120462</v>
      </c>
      <c r="F34" s="59">
        <f>K95</f>
        <v>0.19502334267040153</v>
      </c>
      <c r="G34" s="67">
        <f>L95</f>
        <v>9.7511671335200764E-2</v>
      </c>
      <c r="H34" s="2"/>
      <c r="I34" s="2"/>
      <c r="J34" s="2"/>
      <c r="K34" s="2"/>
    </row>
    <row r="35" spans="1:11" x14ac:dyDescent="0.25">
      <c r="A35" s="121"/>
      <c r="B35" s="68" t="str">
        <f>B104</f>
        <v>Weiterbildung/Sonstiges</v>
      </c>
      <c r="C35" s="56">
        <f>F104</f>
        <v>378.67599999999999</v>
      </c>
      <c r="D35" s="56">
        <f>I104</f>
        <v>158.67600000000002</v>
      </c>
      <c r="E35" s="56">
        <f>J104</f>
        <v>15.867599999999999</v>
      </c>
      <c r="F35" s="57">
        <f>K104</f>
        <v>0.52891999999999995</v>
      </c>
      <c r="G35" s="69">
        <f>L104</f>
        <v>0.26445999999999997</v>
      </c>
      <c r="H35" s="2"/>
      <c r="I35" s="2"/>
      <c r="J35" s="2"/>
      <c r="K35" s="2"/>
    </row>
    <row r="36" spans="1:11" ht="15.75" thickBot="1" x14ac:dyDescent="0.3">
      <c r="A36" s="122"/>
      <c r="B36" s="70" t="str">
        <f>B115</f>
        <v>kalk. Kosten</v>
      </c>
      <c r="C36" s="71">
        <f>F115</f>
        <v>297.88600789915972</v>
      </c>
      <c r="D36" s="71">
        <f>I115</f>
        <v>251.21934123249304</v>
      </c>
      <c r="E36" s="71">
        <f>J115</f>
        <v>25.1219341232493</v>
      </c>
      <c r="F36" s="72">
        <f>K115</f>
        <v>0.83739780410831</v>
      </c>
      <c r="G36" s="73">
        <f>L115</f>
        <v>0.418698902054155</v>
      </c>
      <c r="H36" s="2"/>
      <c r="I36" s="2"/>
      <c r="J36" s="2"/>
      <c r="K36" s="2"/>
    </row>
    <row r="37" spans="1:11" ht="15.75" thickBot="1" x14ac:dyDescent="0.3">
      <c r="A37" s="54"/>
      <c r="B37" s="80" t="s">
        <v>73</v>
      </c>
      <c r="C37" s="81">
        <f>SUBTOTAL(109,C30:C36)</f>
        <v>12086.486797815127</v>
      </c>
      <c r="D37" s="81">
        <f t="shared" ref="D37:G37" si="0">SUBTOTAL(109,D30:D36)</f>
        <v>1184.5458734453784</v>
      </c>
      <c r="E37" s="81">
        <f t="shared" si="0"/>
        <v>118.45463216246499</v>
      </c>
      <c r="F37" s="105">
        <f t="shared" si="0"/>
        <v>3.9484877387488324</v>
      </c>
      <c r="G37" s="105">
        <f t="shared" si="0"/>
        <v>1.9742438693744162</v>
      </c>
      <c r="H37" s="2"/>
      <c r="I37" s="2"/>
      <c r="J37" s="2"/>
      <c r="K37" s="2"/>
    </row>
    <row r="38" spans="1:11" x14ac:dyDescent="0.25">
      <c r="A38" s="123" t="s">
        <v>60</v>
      </c>
      <c r="B38" s="74" t="str">
        <f>B123</f>
        <v>Völker variabel</v>
      </c>
      <c r="C38" s="75">
        <f>F123</f>
        <v>1525.6000000000001</v>
      </c>
      <c r="D38" s="75">
        <f>I123</f>
        <v>549.40000000000009</v>
      </c>
      <c r="E38" s="75">
        <f>J123</f>
        <v>54.940000000000005</v>
      </c>
      <c r="F38" s="76">
        <f>K123</f>
        <v>1.8313333333333335</v>
      </c>
      <c r="G38" s="77">
        <f>L123</f>
        <v>0.91566666666666674</v>
      </c>
      <c r="H38" s="2"/>
      <c r="I38" s="2"/>
      <c r="J38" s="2"/>
      <c r="K38" s="2"/>
    </row>
    <row r="39" spans="1:11" x14ac:dyDescent="0.25">
      <c r="A39" s="124"/>
      <c r="B39" s="66" t="str">
        <f>B131</f>
        <v>Zucht (variabel)</v>
      </c>
      <c r="C39" s="58">
        <f>F131</f>
        <v>137.80000000000001</v>
      </c>
      <c r="D39" s="58">
        <f>I131</f>
        <v>137.80000000000001</v>
      </c>
      <c r="E39" s="58">
        <f>J131</f>
        <v>13.780000000000001</v>
      </c>
      <c r="F39" s="59">
        <f>K131</f>
        <v>0.45933333333333337</v>
      </c>
      <c r="G39" s="67">
        <f>L131</f>
        <v>0.22966666666666669</v>
      </c>
      <c r="H39" s="2"/>
      <c r="I39" s="2"/>
      <c r="J39" s="2"/>
      <c r="K39" s="2"/>
    </row>
    <row r="40" spans="1:11" x14ac:dyDescent="0.25">
      <c r="A40" s="124"/>
      <c r="B40" s="78" t="str">
        <f>B137</f>
        <v>Varroa-Mittel</v>
      </c>
      <c r="C40" s="60">
        <f>F137</f>
        <v>27.75</v>
      </c>
      <c r="D40" s="60">
        <f>I137</f>
        <v>27.75</v>
      </c>
      <c r="E40" s="60">
        <f>J137</f>
        <v>2.7749999999999999</v>
      </c>
      <c r="F40" s="61">
        <f>K137</f>
        <v>9.2499999999999999E-2</v>
      </c>
      <c r="G40" s="79">
        <f>L137</f>
        <v>4.6249999999999999E-2</v>
      </c>
      <c r="H40" s="2"/>
      <c r="I40" s="2"/>
      <c r="J40" s="2"/>
      <c r="K40" s="2"/>
    </row>
    <row r="41" spans="1:11" x14ac:dyDescent="0.25">
      <c r="A41" s="124"/>
      <c r="B41" s="66" t="str">
        <f>B142</f>
        <v>Honigverkauf</v>
      </c>
      <c r="C41" s="58">
        <f>F142</f>
        <v>383.1</v>
      </c>
      <c r="D41" s="58">
        <f>I142</f>
        <v>191.1</v>
      </c>
      <c r="E41" s="58">
        <f>J142</f>
        <v>19.11</v>
      </c>
      <c r="F41" s="59">
        <f>K142</f>
        <v>0.6369999999999999</v>
      </c>
      <c r="G41" s="67">
        <f>L142</f>
        <v>0.31849999999999995</v>
      </c>
      <c r="H41" s="2"/>
      <c r="I41" s="2"/>
      <c r="J41" s="2"/>
      <c r="K41" s="2"/>
    </row>
    <row r="42" spans="1:11" x14ac:dyDescent="0.25">
      <c r="A42" s="124"/>
      <c r="B42" s="78" t="str">
        <f>B148</f>
        <v>Fahrtkosten</v>
      </c>
      <c r="C42" s="60">
        <f>F148</f>
        <v>76</v>
      </c>
      <c r="D42" s="60">
        <f>I148</f>
        <v>0</v>
      </c>
      <c r="E42" s="60">
        <f>J148</f>
        <v>7.6</v>
      </c>
      <c r="F42" s="61">
        <f>K148</f>
        <v>0.25333333333333335</v>
      </c>
      <c r="G42" s="79">
        <f>L148</f>
        <v>0.12666666666666668</v>
      </c>
      <c r="H42" s="2"/>
      <c r="I42" s="2"/>
      <c r="J42" s="2"/>
      <c r="K42" s="2"/>
    </row>
    <row r="43" spans="1:11" ht="15.75" thickBot="1" x14ac:dyDescent="0.3">
      <c r="A43" s="125"/>
      <c r="B43" s="70" t="str">
        <f>B151</f>
        <v>Arbeitszeit</v>
      </c>
      <c r="C43" s="71">
        <f>F151</f>
        <v>2700</v>
      </c>
      <c r="D43" s="71">
        <f>I151</f>
        <v>2700</v>
      </c>
      <c r="E43" s="71">
        <f>J151</f>
        <v>270</v>
      </c>
      <c r="F43" s="72">
        <f>K151</f>
        <v>9</v>
      </c>
      <c r="G43" s="73">
        <f>L151</f>
        <v>4.5</v>
      </c>
      <c r="H43" s="2"/>
      <c r="I43" s="2"/>
      <c r="J43" s="2"/>
      <c r="K43" s="2"/>
    </row>
    <row r="44" spans="1:11" ht="15.75" thickBot="1" x14ac:dyDescent="0.3">
      <c r="A44" s="55"/>
      <c r="B44" s="80" t="s">
        <v>73</v>
      </c>
      <c r="C44" s="81">
        <f>SUBTOTAL(109,C38:C43)</f>
        <v>4850.25</v>
      </c>
      <c r="D44" s="81">
        <f t="shared" ref="D44" si="1">SUBTOTAL(109,D38:D43)</f>
        <v>3606.05</v>
      </c>
      <c r="E44" s="81">
        <f t="shared" ref="E44" si="2">SUBTOTAL(109,E38:E43)</f>
        <v>368.20499999999998</v>
      </c>
      <c r="F44" s="105">
        <f t="shared" ref="F44" si="3">SUBTOTAL(109,F38:F43)</f>
        <v>12.2735</v>
      </c>
      <c r="G44" s="105">
        <f t="shared" ref="G44" si="4">SUBTOTAL(109,G38:G43)</f>
        <v>6.1367500000000001</v>
      </c>
      <c r="H44" s="2"/>
      <c r="I44" s="2"/>
      <c r="J44" s="2"/>
      <c r="K44" s="2"/>
    </row>
    <row r="45" spans="1:11" ht="15.75" thickTop="1" x14ac:dyDescent="0.25">
      <c r="B45" s="82" t="s">
        <v>132</v>
      </c>
      <c r="C45" s="83">
        <f>SUBTOTAL(109,Honigpreis!$C$30:$C$43)</f>
        <v>16936.736797815127</v>
      </c>
      <c r="D45" s="83">
        <f>SUBTOTAL(109,Honigpreis!$D$30:$D$43)</f>
        <v>4790.5958734453779</v>
      </c>
      <c r="E45" s="83">
        <f>SUBTOTAL(109,Honigpreis!$E$30:$E$43)</f>
        <v>486.65963216246496</v>
      </c>
      <c r="F45" s="84">
        <f>SUBTOTAL(109,Honigpreis!$F$30:$F$43)</f>
        <v>16.221987738748833</v>
      </c>
      <c r="G45" s="84">
        <f>SUBTOTAL(109,Honigpreis!$G$30:$G$43)</f>
        <v>8.1109938693744166</v>
      </c>
    </row>
    <row r="46" spans="1:11" x14ac:dyDescent="0.25">
      <c r="B46" s="106"/>
      <c r="C46" s="107"/>
      <c r="D46" s="107"/>
      <c r="E46" s="107"/>
      <c r="F46" s="108"/>
      <c r="G46" s="108"/>
    </row>
    <row r="47" spans="1:11" ht="319.5" customHeight="1" x14ac:dyDescent="0.25">
      <c r="B47" s="106"/>
      <c r="C47" s="107"/>
      <c r="D47" s="107"/>
      <c r="E47" s="107"/>
      <c r="F47" s="108"/>
      <c r="G47" s="108"/>
      <c r="H47" s="109"/>
      <c r="I47" s="110"/>
      <c r="J47" s="110"/>
      <c r="K47" s="110"/>
    </row>
    <row r="48" spans="1:11" x14ac:dyDescent="0.25">
      <c r="D48" s="110"/>
      <c r="F48" s="110"/>
      <c r="G48" s="111"/>
      <c r="H48" s="109"/>
      <c r="I48" s="110"/>
      <c r="J48" s="110"/>
      <c r="K48" s="110"/>
    </row>
    <row r="49" spans="1:12" s="1" customFormat="1" ht="30" x14ac:dyDescent="0.25">
      <c r="B49" s="1" t="s">
        <v>0</v>
      </c>
      <c r="C49" s="1" t="s">
        <v>38</v>
      </c>
      <c r="D49" s="35" t="s">
        <v>63</v>
      </c>
      <c r="E49" s="1" t="s">
        <v>61</v>
      </c>
      <c r="F49" s="35" t="s">
        <v>62</v>
      </c>
      <c r="G49" s="36" t="s">
        <v>114</v>
      </c>
      <c r="H49" s="37" t="s">
        <v>37</v>
      </c>
      <c r="I49" s="35" t="s">
        <v>64</v>
      </c>
      <c r="J49" s="35" t="s">
        <v>58</v>
      </c>
      <c r="K49" s="35" t="s">
        <v>59</v>
      </c>
      <c r="L49" s="35" t="s">
        <v>76</v>
      </c>
    </row>
    <row r="50" spans="1:12" ht="15.75" x14ac:dyDescent="0.25">
      <c r="A50" s="118" t="s">
        <v>36</v>
      </c>
      <c r="B50" s="11" t="s">
        <v>78</v>
      </c>
      <c r="C50" s="6"/>
      <c r="D50" s="45"/>
      <c r="E50" s="22" t="s">
        <v>73</v>
      </c>
      <c r="F50" s="45">
        <f>SUBTOTAL(109,F51:F56)</f>
        <v>6636.1567226890757</v>
      </c>
      <c r="G50" s="32"/>
      <c r="H50" s="9"/>
      <c r="I50" s="45">
        <f>ROUND(SUBTOTAL(109,I51:I56),2)</f>
        <v>419.41</v>
      </c>
      <c r="J50" s="9">
        <f>SUBTOTAL(109,J51:J56)</f>
        <v>41.941044817927171</v>
      </c>
      <c r="K50" s="9">
        <f>SUBTOTAL(109,K51:K56)</f>
        <v>1.3980348272642391</v>
      </c>
      <c r="L50" s="29">
        <f>+Tabelle2[[#This Row],[€/Kg Honig]]/2</f>
        <v>0.69901741363211956</v>
      </c>
    </row>
    <row r="51" spans="1:12" ht="15.75" x14ac:dyDescent="0.25">
      <c r="A51" s="118"/>
      <c r="B51" s="8" t="s">
        <v>35</v>
      </c>
      <c r="C51" s="6" t="s">
        <v>34</v>
      </c>
      <c r="D51" s="45">
        <f>+C7</f>
        <v>150</v>
      </c>
      <c r="E51" s="6">
        <f>C3</f>
        <v>10</v>
      </c>
      <c r="F51" s="45">
        <f t="shared" ref="F51:F56" si="5">+E51*D51</f>
        <v>1500</v>
      </c>
      <c r="G51" s="32"/>
      <c r="H51" s="10"/>
      <c r="I51" s="45">
        <f>+H51*F51</f>
        <v>0</v>
      </c>
      <c r="J51" s="9">
        <f t="shared" ref="J51:J56" si="6">+I51/$C$3</f>
        <v>0</v>
      </c>
      <c r="K51" s="9">
        <f t="shared" ref="K51:K56" si="7">+I51/$C$9</f>
        <v>0</v>
      </c>
      <c r="L51" s="29">
        <f>+Tabelle2[[#This Row],[€/Kg Honig]]/2</f>
        <v>0</v>
      </c>
    </row>
    <row r="52" spans="1:12" ht="31.5" x14ac:dyDescent="0.25">
      <c r="A52" s="118"/>
      <c r="B52" s="8" t="s">
        <v>100</v>
      </c>
      <c r="C52" s="6" t="s">
        <v>34</v>
      </c>
      <c r="D52" s="45">
        <v>170</v>
      </c>
      <c r="E52" s="6">
        <f>ROUNDUP(C3*1.5,0)</f>
        <v>15</v>
      </c>
      <c r="F52" s="45">
        <f t="shared" si="5"/>
        <v>2550</v>
      </c>
      <c r="G52" s="32">
        <v>10</v>
      </c>
      <c r="H52" s="10">
        <f>1/Tabelle2[[#This Row],[Nutzungs-jahre]]</f>
        <v>0.1</v>
      </c>
      <c r="I52" s="45">
        <f t="shared" ref="I52:I56" si="8">+H52*F52</f>
        <v>255</v>
      </c>
      <c r="J52" s="9">
        <f t="shared" si="6"/>
        <v>25.5</v>
      </c>
      <c r="K52" s="9">
        <f t="shared" si="7"/>
        <v>0.85</v>
      </c>
      <c r="L52" s="29">
        <f>+Tabelle2[[#This Row],[€/Kg Honig]]/2</f>
        <v>0.42499999999999999</v>
      </c>
    </row>
    <row r="53" spans="1:12" ht="15.75" x14ac:dyDescent="0.25">
      <c r="A53" s="118"/>
      <c r="B53" s="8" t="s">
        <v>30</v>
      </c>
      <c r="C53" s="6" t="s">
        <v>34</v>
      </c>
      <c r="D53" s="45">
        <f>+D52</f>
        <v>170</v>
      </c>
      <c r="E53" s="6">
        <f>ROUNDUP(C4*1.5,0)</f>
        <v>8</v>
      </c>
      <c r="F53" s="45">
        <f t="shared" si="5"/>
        <v>1360</v>
      </c>
      <c r="G53" s="32">
        <v>15</v>
      </c>
      <c r="H53" s="10">
        <f>1/Tabelle2[[#This Row],[Nutzungs-jahre]]</f>
        <v>6.6666666666666666E-2</v>
      </c>
      <c r="I53" s="45">
        <f t="shared" si="8"/>
        <v>90.666666666666671</v>
      </c>
      <c r="J53" s="9">
        <f t="shared" si="6"/>
        <v>9.0666666666666664</v>
      </c>
      <c r="K53" s="9">
        <f t="shared" si="7"/>
        <v>0.30222222222222223</v>
      </c>
      <c r="L53" s="29">
        <f>+Tabelle2[[#This Row],[€/Kg Honig]]/2</f>
        <v>0.15111111111111111</v>
      </c>
    </row>
    <row r="54" spans="1:12" ht="15.75" x14ac:dyDescent="0.25">
      <c r="A54" s="118"/>
      <c r="B54" s="8" t="s">
        <v>31</v>
      </c>
      <c r="C54" s="6" t="s">
        <v>34</v>
      </c>
      <c r="D54" s="45">
        <v>60</v>
      </c>
      <c r="E54" s="6">
        <f>ROUNDUP(SUM(C3:C4)/2,0)</f>
        <v>8</v>
      </c>
      <c r="F54" s="45">
        <f t="shared" si="5"/>
        <v>480</v>
      </c>
      <c r="G54" s="32">
        <v>20</v>
      </c>
      <c r="H54" s="10">
        <f>1/Tabelle2[[#This Row],[Nutzungs-jahre]]</f>
        <v>0.05</v>
      </c>
      <c r="I54" s="45">
        <f t="shared" si="8"/>
        <v>24</v>
      </c>
      <c r="J54" s="9">
        <f t="shared" si="6"/>
        <v>2.4</v>
      </c>
      <c r="K54" s="9">
        <f t="shared" si="7"/>
        <v>0.08</v>
      </c>
      <c r="L54" s="29">
        <f>+Tabelle2[[#This Row],[€/Kg Honig]]/2</f>
        <v>0.04</v>
      </c>
    </row>
    <row r="55" spans="1:12" ht="15.75" x14ac:dyDescent="0.25">
      <c r="A55" s="118"/>
      <c r="B55" s="8" t="s">
        <v>33</v>
      </c>
      <c r="C55" s="6" t="s">
        <v>34</v>
      </c>
      <c r="D55" s="45">
        <v>25</v>
      </c>
      <c r="E55" s="6">
        <f>SUM(E52:E53)</f>
        <v>23</v>
      </c>
      <c r="F55" s="45">
        <f t="shared" si="5"/>
        <v>575</v>
      </c>
      <c r="G55" s="32">
        <f>+G53</f>
        <v>15</v>
      </c>
      <c r="H55" s="10">
        <f>1/Tabelle2[[#This Row],[Nutzungs-jahre]]</f>
        <v>6.6666666666666666E-2</v>
      </c>
      <c r="I55" s="45">
        <f t="shared" si="8"/>
        <v>38.333333333333336</v>
      </c>
      <c r="J55" s="9">
        <f t="shared" si="6"/>
        <v>3.8333333333333335</v>
      </c>
      <c r="K55" s="9">
        <f t="shared" si="7"/>
        <v>0.1277777777777778</v>
      </c>
      <c r="L55" s="29">
        <f>+Tabelle2[[#This Row],[€/Kg Honig]]/2</f>
        <v>6.3888888888888898E-2</v>
      </c>
    </row>
    <row r="56" spans="1:12" ht="15.75" x14ac:dyDescent="0.25">
      <c r="A56" s="118"/>
      <c r="B56" s="8" t="s">
        <v>32</v>
      </c>
      <c r="C56" s="6" t="s">
        <v>34</v>
      </c>
      <c r="D56" s="45">
        <f>19.9/2*(1-$C$14/1.19)</f>
        <v>7.4415966386554615</v>
      </c>
      <c r="E56" s="6">
        <f>+E55</f>
        <v>23</v>
      </c>
      <c r="F56" s="45">
        <f t="shared" si="5"/>
        <v>171.15672268907562</v>
      </c>
      <c r="G56" s="32">
        <v>15</v>
      </c>
      <c r="H56" s="10">
        <f>1/Tabelle2[[#This Row],[Nutzungs-jahre]]</f>
        <v>6.6666666666666666E-2</v>
      </c>
      <c r="I56" s="45">
        <f t="shared" si="8"/>
        <v>11.410448179271707</v>
      </c>
      <c r="J56" s="9">
        <f t="shared" si="6"/>
        <v>1.1410448179271708</v>
      </c>
      <c r="K56" s="9">
        <f t="shared" si="7"/>
        <v>3.8034827264239027E-2</v>
      </c>
      <c r="L56" s="29">
        <f>+Tabelle2[[#This Row],[€/Kg Honig]]/2</f>
        <v>1.9017413632119513E-2</v>
      </c>
    </row>
    <row r="57" spans="1:12" ht="15.75" x14ac:dyDescent="0.25">
      <c r="A57" s="118"/>
      <c r="B57" s="8"/>
      <c r="C57" s="6"/>
      <c r="D57" s="45"/>
      <c r="E57" s="6"/>
      <c r="F57" s="45"/>
      <c r="G57" s="32"/>
      <c r="H57" s="10"/>
      <c r="I57" s="45"/>
      <c r="J57" s="9"/>
      <c r="K57" s="9"/>
      <c r="L57" s="29"/>
    </row>
    <row r="58" spans="1:12" ht="15.75" x14ac:dyDescent="0.25">
      <c r="A58" s="118"/>
      <c r="B58" s="11" t="s">
        <v>28</v>
      </c>
      <c r="C58" s="6"/>
      <c r="D58" s="45"/>
      <c r="E58" s="22" t="s">
        <v>73</v>
      </c>
      <c r="F58" s="45">
        <f>SUBTOTAL(109,F59:F70)</f>
        <v>851.26050420168076</v>
      </c>
      <c r="G58" s="32"/>
      <c r="H58" s="9"/>
      <c r="I58" s="45">
        <f>SUBTOTAL(109,I59:I70)</f>
        <v>90.342857142857142</v>
      </c>
      <c r="J58" s="9">
        <f>SUBTOTAL(109,J59:J70)</f>
        <v>9.0342857142857156</v>
      </c>
      <c r="K58" s="9">
        <f>SUBTOTAL(109,K59:K70)</f>
        <v>0.30114285714285716</v>
      </c>
      <c r="L58" s="29">
        <f>+Tabelle2[[#This Row],[€/Kg Honig]]/2</f>
        <v>0.15057142857142858</v>
      </c>
    </row>
    <row r="59" spans="1:12" ht="15.75" x14ac:dyDescent="0.25">
      <c r="A59" s="118"/>
      <c r="B59" s="8" t="s">
        <v>144</v>
      </c>
      <c r="C59" s="6" t="s">
        <v>34</v>
      </c>
      <c r="D59" s="45">
        <v>8</v>
      </c>
      <c r="E59" s="6">
        <v>2</v>
      </c>
      <c r="F59" s="45">
        <f t="shared" ref="F59:F70" si="9">+E59*D59</f>
        <v>16</v>
      </c>
      <c r="G59" s="32">
        <v>15</v>
      </c>
      <c r="H59" s="10">
        <f>1/Tabelle2[[#This Row],[Nutzungs-jahre]]</f>
        <v>6.6666666666666666E-2</v>
      </c>
      <c r="I59" s="45">
        <f t="shared" ref="I59:I146" si="10">+H59*F59</f>
        <v>1.0666666666666667</v>
      </c>
      <c r="J59" s="9">
        <f t="shared" ref="J59:J70" si="11">+I59/$C$3</f>
        <v>0.10666666666666666</v>
      </c>
      <c r="K59" s="9">
        <f t="shared" ref="K59:K70" si="12">+I59/$C$9</f>
        <v>3.5555555555555553E-3</v>
      </c>
      <c r="L59" s="29">
        <f>+Tabelle2[[#This Row],[€/Kg Honig]]/2</f>
        <v>1.7777777777777776E-3</v>
      </c>
    </row>
    <row r="60" spans="1:12" ht="15.75" x14ac:dyDescent="0.25">
      <c r="A60" s="118"/>
      <c r="B60" s="8" t="s">
        <v>3</v>
      </c>
      <c r="C60" s="6" t="s">
        <v>47</v>
      </c>
      <c r="D60" s="45">
        <v>80</v>
      </c>
      <c r="E60" s="6">
        <v>1</v>
      </c>
      <c r="F60" s="45">
        <f t="shared" si="9"/>
        <v>80</v>
      </c>
      <c r="G60" s="32">
        <v>10</v>
      </c>
      <c r="H60" s="10">
        <f>1/Tabelle2[[#This Row],[Nutzungs-jahre]]</f>
        <v>0.1</v>
      </c>
      <c r="I60" s="45">
        <f t="shared" si="10"/>
        <v>8</v>
      </c>
      <c r="J60" s="9">
        <f t="shared" si="11"/>
        <v>0.8</v>
      </c>
      <c r="K60" s="9">
        <f t="shared" si="12"/>
        <v>2.6666666666666668E-2</v>
      </c>
      <c r="L60" s="29">
        <f>+Tabelle2[[#This Row],[€/Kg Honig]]/2</f>
        <v>1.3333333333333334E-2</v>
      </c>
    </row>
    <row r="61" spans="1:12" ht="15.75" x14ac:dyDescent="0.25">
      <c r="A61" s="118"/>
      <c r="B61" s="8" t="s">
        <v>27</v>
      </c>
      <c r="C61" s="6" t="s">
        <v>48</v>
      </c>
      <c r="D61" s="45">
        <v>20</v>
      </c>
      <c r="E61" s="6">
        <v>1</v>
      </c>
      <c r="F61" s="45">
        <f t="shared" si="9"/>
        <v>20</v>
      </c>
      <c r="G61" s="32">
        <v>15</v>
      </c>
      <c r="H61" s="10">
        <f>1/Tabelle2[[#This Row],[Nutzungs-jahre]]</f>
        <v>6.6666666666666666E-2</v>
      </c>
      <c r="I61" s="45">
        <f t="shared" si="10"/>
        <v>1.3333333333333333</v>
      </c>
      <c r="J61" s="9">
        <f t="shared" si="11"/>
        <v>0.13333333333333333</v>
      </c>
      <c r="K61" s="9">
        <f t="shared" si="12"/>
        <v>4.4444444444444444E-3</v>
      </c>
      <c r="L61" s="29">
        <f>+Tabelle2[[#This Row],[€/Kg Honig]]/2</f>
        <v>2.2222222222222222E-3</v>
      </c>
    </row>
    <row r="62" spans="1:12" ht="15.75" x14ac:dyDescent="0.25">
      <c r="A62" s="118"/>
      <c r="B62" s="8" t="s">
        <v>26</v>
      </c>
      <c r="C62" s="6" t="s">
        <v>34</v>
      </c>
      <c r="D62" s="45">
        <v>60</v>
      </c>
      <c r="E62" s="6">
        <v>1</v>
      </c>
      <c r="F62" s="45">
        <f t="shared" si="9"/>
        <v>60</v>
      </c>
      <c r="G62" s="32">
        <v>10</v>
      </c>
      <c r="H62" s="10">
        <f>1/Tabelle2[[#This Row],[Nutzungs-jahre]]</f>
        <v>0.1</v>
      </c>
      <c r="I62" s="45">
        <f t="shared" si="10"/>
        <v>6</v>
      </c>
      <c r="J62" s="9">
        <f t="shared" si="11"/>
        <v>0.6</v>
      </c>
      <c r="K62" s="9">
        <f t="shared" si="12"/>
        <v>0.02</v>
      </c>
      <c r="L62" s="29">
        <f>+Tabelle2[[#This Row],[€/Kg Honig]]/2</f>
        <v>0.01</v>
      </c>
    </row>
    <row r="63" spans="1:12" ht="15.75" x14ac:dyDescent="0.25">
      <c r="A63" s="118"/>
      <c r="B63" s="8" t="s">
        <v>83</v>
      </c>
      <c r="C63" s="6" t="s">
        <v>34</v>
      </c>
      <c r="D63" s="45">
        <v>6</v>
      </c>
      <c r="E63" s="6">
        <v>1</v>
      </c>
      <c r="F63" s="45">
        <f t="shared" si="9"/>
        <v>6</v>
      </c>
      <c r="G63" s="32">
        <v>10</v>
      </c>
      <c r="H63" s="10">
        <f>1/Tabelle2[[#This Row],[Nutzungs-jahre]]</f>
        <v>0.1</v>
      </c>
      <c r="I63" s="45">
        <f t="shared" ref="I63" si="13">+H63*F63</f>
        <v>0.60000000000000009</v>
      </c>
      <c r="J63" s="9">
        <f t="shared" ref="J63" si="14">+I63/$C$3</f>
        <v>6.0000000000000012E-2</v>
      </c>
      <c r="K63" s="9">
        <f t="shared" ref="K63" si="15">+I63/$C$9</f>
        <v>2.0000000000000005E-3</v>
      </c>
      <c r="L63" s="29">
        <f>+Tabelle2[[#This Row],[€/Kg Honig]]/2</f>
        <v>1.0000000000000002E-3</v>
      </c>
    </row>
    <row r="64" spans="1:12" ht="15.75" x14ac:dyDescent="0.25">
      <c r="A64" s="118"/>
      <c r="B64" s="8" t="s">
        <v>29</v>
      </c>
      <c r="C64" s="6" t="s">
        <v>34</v>
      </c>
      <c r="D64" s="45">
        <f>100*(1-$C$14/1.19)</f>
        <v>74.789915966386559</v>
      </c>
      <c r="E64" s="6">
        <v>1</v>
      </c>
      <c r="F64" s="45">
        <f t="shared" si="9"/>
        <v>74.789915966386559</v>
      </c>
      <c r="G64" s="32">
        <v>15</v>
      </c>
      <c r="H64" s="10">
        <f>1/Tabelle2[[#This Row],[Nutzungs-jahre]]</f>
        <v>6.6666666666666666E-2</v>
      </c>
      <c r="I64" s="45">
        <f t="shared" si="10"/>
        <v>4.9859943977591037</v>
      </c>
      <c r="J64" s="9">
        <f t="shared" si="11"/>
        <v>0.49859943977591037</v>
      </c>
      <c r="K64" s="9">
        <f t="shared" si="12"/>
        <v>1.6619981325863679E-2</v>
      </c>
      <c r="L64" s="29">
        <f>+Tabelle2[[#This Row],[€/Kg Honig]]/2</f>
        <v>8.3099906629318394E-3</v>
      </c>
    </row>
    <row r="65" spans="1:12" ht="15.75" x14ac:dyDescent="0.25">
      <c r="A65" s="118"/>
      <c r="B65" s="8" t="s">
        <v>97</v>
      </c>
      <c r="C65" s="6" t="s">
        <v>34</v>
      </c>
      <c r="D65" s="45">
        <f>1000*(1-$C$14/1.19)</f>
        <v>747.89915966386559</v>
      </c>
      <c r="E65" s="6">
        <v>0</v>
      </c>
      <c r="F65" s="45">
        <f t="shared" si="9"/>
        <v>0</v>
      </c>
      <c r="G65" s="32">
        <v>15</v>
      </c>
      <c r="H65" s="10">
        <f>1/Tabelle2[[#This Row],[Nutzungs-jahre]]</f>
        <v>6.6666666666666666E-2</v>
      </c>
      <c r="I65" s="45">
        <f t="shared" ref="I65" si="16">+H65*F65</f>
        <v>0</v>
      </c>
      <c r="J65" s="9">
        <f t="shared" ref="J65" si="17">+I65/$C$3</f>
        <v>0</v>
      </c>
      <c r="K65" s="9">
        <f t="shared" ref="K65" si="18">+I65/$C$9</f>
        <v>0</v>
      </c>
      <c r="L65" s="29">
        <f>+Tabelle2[[#This Row],[€/Kg Honig]]/2</f>
        <v>0</v>
      </c>
    </row>
    <row r="66" spans="1:12" ht="15.75" x14ac:dyDescent="0.25">
      <c r="A66" s="118"/>
      <c r="B66" s="8" t="s">
        <v>2</v>
      </c>
      <c r="C66" s="6" t="s">
        <v>34</v>
      </c>
      <c r="D66" s="45">
        <v>5</v>
      </c>
      <c r="E66" s="6">
        <v>1</v>
      </c>
      <c r="F66" s="45">
        <f t="shared" si="9"/>
        <v>5</v>
      </c>
      <c r="G66" s="32">
        <v>15</v>
      </c>
      <c r="H66" s="10">
        <f>1/Tabelle2[[#This Row],[Nutzungs-jahre]]</f>
        <v>6.6666666666666666E-2</v>
      </c>
      <c r="I66" s="45">
        <f t="shared" ref="I66" si="19">+H66*F66</f>
        <v>0.33333333333333331</v>
      </c>
      <c r="J66" s="9">
        <f t="shared" si="11"/>
        <v>3.3333333333333333E-2</v>
      </c>
      <c r="K66" s="9">
        <f t="shared" si="12"/>
        <v>1.1111111111111111E-3</v>
      </c>
      <c r="L66" s="29">
        <f>+Tabelle2[[#This Row],[€/Kg Honig]]/2</f>
        <v>5.5555555555555556E-4</v>
      </c>
    </row>
    <row r="67" spans="1:12" ht="15.75" x14ac:dyDescent="0.25">
      <c r="A67" s="118"/>
      <c r="B67" s="8" t="s">
        <v>25</v>
      </c>
      <c r="C67" s="6" t="s">
        <v>47</v>
      </c>
      <c r="D67" s="45">
        <v>150</v>
      </c>
      <c r="E67" s="6">
        <v>1</v>
      </c>
      <c r="F67" s="45">
        <f t="shared" si="9"/>
        <v>150</v>
      </c>
      <c r="G67" s="32">
        <v>20</v>
      </c>
      <c r="H67" s="10">
        <f>1/Tabelle2[[#This Row],[Nutzungs-jahre]]</f>
        <v>0.05</v>
      </c>
      <c r="I67" s="45">
        <f t="shared" si="10"/>
        <v>7.5</v>
      </c>
      <c r="J67" s="9">
        <f t="shared" si="11"/>
        <v>0.75</v>
      </c>
      <c r="K67" s="9">
        <f t="shared" si="12"/>
        <v>2.5000000000000001E-2</v>
      </c>
      <c r="L67" s="29">
        <f>+Tabelle2[[#This Row],[€/Kg Honig]]/2</f>
        <v>1.2500000000000001E-2</v>
      </c>
    </row>
    <row r="68" spans="1:12" ht="15.75" x14ac:dyDescent="0.25">
      <c r="A68" s="118"/>
      <c r="B68" s="8" t="s">
        <v>124</v>
      </c>
      <c r="C68" s="6" t="s">
        <v>34</v>
      </c>
      <c r="D68" s="45">
        <v>6.6</v>
      </c>
      <c r="E68" s="6">
        <f>+C3/2</f>
        <v>5</v>
      </c>
      <c r="F68" s="45">
        <f t="shared" si="9"/>
        <v>33</v>
      </c>
      <c r="G68" s="32">
        <v>15</v>
      </c>
      <c r="H68" s="10">
        <f>1/Tabelle2[[#This Row],[Nutzungs-jahre]]</f>
        <v>6.6666666666666666E-2</v>
      </c>
      <c r="I68" s="45">
        <f t="shared" si="10"/>
        <v>2.2000000000000002</v>
      </c>
      <c r="J68" s="9">
        <f t="shared" si="11"/>
        <v>0.22000000000000003</v>
      </c>
      <c r="K68" s="9">
        <f t="shared" si="12"/>
        <v>7.3333333333333341E-3</v>
      </c>
      <c r="L68" s="29">
        <f>+Tabelle2[[#This Row],[€/Kg Honig]]/2</f>
        <v>3.666666666666667E-3</v>
      </c>
    </row>
    <row r="69" spans="1:12" ht="15.75" x14ac:dyDescent="0.25">
      <c r="A69" s="118"/>
      <c r="B69" s="8" t="s">
        <v>82</v>
      </c>
      <c r="C69" s="6" t="s">
        <v>34</v>
      </c>
      <c r="D69" s="45">
        <f>490*(1-$C$14/1.19)</f>
        <v>366.47058823529414</v>
      </c>
      <c r="E69" s="6">
        <v>1</v>
      </c>
      <c r="F69" s="45">
        <f t="shared" si="9"/>
        <v>366.47058823529414</v>
      </c>
      <c r="G69" s="32">
        <v>20</v>
      </c>
      <c r="H69" s="10">
        <f>1/Tabelle2[[#This Row],[Nutzungs-jahre]]</f>
        <v>0.05</v>
      </c>
      <c r="I69" s="45">
        <f t="shared" ref="I69" si="20">+H69*F69</f>
        <v>18.323529411764707</v>
      </c>
      <c r="J69" s="9">
        <f t="shared" ref="J69" si="21">+I69/$C$3</f>
        <v>1.8323529411764707</v>
      </c>
      <c r="K69" s="9">
        <f t="shared" ref="K69" si="22">+I69/$C$9</f>
        <v>6.1078431372549022E-2</v>
      </c>
      <c r="L69" s="29">
        <f>+Tabelle2[[#This Row],[€/Kg Honig]]/2</f>
        <v>3.0539215686274511E-2</v>
      </c>
    </row>
    <row r="70" spans="1:12" ht="15.75" x14ac:dyDescent="0.25">
      <c r="A70" s="118"/>
      <c r="B70" s="8" t="s">
        <v>57</v>
      </c>
      <c r="C70" s="6" t="s">
        <v>47</v>
      </c>
      <c r="D70" s="45">
        <v>40</v>
      </c>
      <c r="E70" s="6">
        <v>1</v>
      </c>
      <c r="F70" s="45">
        <f t="shared" si="9"/>
        <v>40</v>
      </c>
      <c r="G70" s="32">
        <v>1</v>
      </c>
      <c r="H70" s="10">
        <f>1/Tabelle2[[#This Row],[Nutzungs-jahre]]</f>
        <v>1</v>
      </c>
      <c r="I70" s="45">
        <f t="shared" si="10"/>
        <v>40</v>
      </c>
      <c r="J70" s="9">
        <f t="shared" si="11"/>
        <v>4</v>
      </c>
      <c r="K70" s="9">
        <f t="shared" si="12"/>
        <v>0.13333333333333333</v>
      </c>
      <c r="L70" s="29">
        <f>+Tabelle2[[#This Row],[€/Kg Honig]]/2</f>
        <v>6.6666666666666666E-2</v>
      </c>
    </row>
    <row r="71" spans="1:12" ht="15.75" x14ac:dyDescent="0.25">
      <c r="A71" s="118"/>
      <c r="B71" s="8"/>
      <c r="C71" s="6"/>
      <c r="D71" s="45"/>
      <c r="E71" s="6"/>
      <c r="F71" s="45"/>
      <c r="G71" s="32"/>
      <c r="H71" s="10"/>
      <c r="I71" s="45"/>
      <c r="J71" s="9"/>
      <c r="K71" s="9"/>
      <c r="L71" s="29"/>
    </row>
    <row r="72" spans="1:12" ht="15.75" x14ac:dyDescent="0.25">
      <c r="A72" s="118"/>
      <c r="B72" s="11" t="s">
        <v>140</v>
      </c>
      <c r="C72" s="6"/>
      <c r="D72" s="45"/>
      <c r="E72" s="22" t="s">
        <v>73</v>
      </c>
      <c r="F72" s="45">
        <f>SUBTOTAL(109,F73:F78)</f>
        <v>240.6</v>
      </c>
      <c r="G72" s="32"/>
      <c r="H72" s="9"/>
      <c r="I72" s="45">
        <f>SUBTOTAL(109,I73:I78)</f>
        <v>62.433333333333337</v>
      </c>
      <c r="J72" s="9">
        <f>SUBTOTAL(109,J73:J78)</f>
        <v>6.2433333333333341</v>
      </c>
      <c r="K72" s="9">
        <f>SUBTOTAL(109,K73:K78)</f>
        <v>0.20811111111111111</v>
      </c>
      <c r="L72" s="29">
        <f>+Tabelle2[[#This Row],[€/Kg Honig]]/2</f>
        <v>0.10405555555555555</v>
      </c>
    </row>
    <row r="73" spans="1:12" ht="15.75" x14ac:dyDescent="0.25">
      <c r="A73" s="118"/>
      <c r="B73" s="8" t="s">
        <v>134</v>
      </c>
      <c r="C73" s="6" t="s">
        <v>34</v>
      </c>
      <c r="D73" s="45">
        <v>15</v>
      </c>
      <c r="E73" s="6">
        <f>C3*2/10</f>
        <v>2</v>
      </c>
      <c r="F73" s="45">
        <f t="shared" ref="F73:F78" si="23">+E73*D73</f>
        <v>30</v>
      </c>
      <c r="G73" s="32">
        <v>20</v>
      </c>
      <c r="H73" s="10">
        <f>1/Tabelle2[[#This Row],[Nutzungs-jahre]]</f>
        <v>0.05</v>
      </c>
      <c r="I73" s="45">
        <f t="shared" ref="I73:I78" si="24">+H73*F73</f>
        <v>1.5</v>
      </c>
      <c r="J73" s="9">
        <f t="shared" ref="J73:J78" si="25">+I73/$C$3</f>
        <v>0.15</v>
      </c>
      <c r="K73" s="9">
        <f t="shared" ref="K73:K78" si="26">+I73/$C$9</f>
        <v>5.0000000000000001E-3</v>
      </c>
      <c r="L73" s="29">
        <f>+Tabelle2[[#This Row],[€/Kg Honig]]/2</f>
        <v>2.5000000000000001E-3</v>
      </c>
    </row>
    <row r="74" spans="1:12" ht="15.75" x14ac:dyDescent="0.25">
      <c r="A74" s="118"/>
      <c r="B74" s="8" t="s">
        <v>71</v>
      </c>
      <c r="C74" s="6" t="s">
        <v>47</v>
      </c>
      <c r="D74" s="45">
        <v>20</v>
      </c>
      <c r="E74" s="6">
        <v>1</v>
      </c>
      <c r="F74" s="45">
        <f t="shared" si="23"/>
        <v>20</v>
      </c>
      <c r="G74" s="32">
        <v>20</v>
      </c>
      <c r="H74" s="10">
        <f>1/Tabelle2[[#This Row],[Nutzungs-jahre]]</f>
        <v>0.05</v>
      </c>
      <c r="I74" s="45">
        <f t="shared" si="24"/>
        <v>1</v>
      </c>
      <c r="J74" s="9">
        <f t="shared" si="25"/>
        <v>0.1</v>
      </c>
      <c r="K74" s="9">
        <f t="shared" si="26"/>
        <v>3.3333333333333335E-3</v>
      </c>
      <c r="L74" s="29">
        <f>+Tabelle2[[#This Row],[€/Kg Honig]]/2</f>
        <v>1.6666666666666668E-3</v>
      </c>
    </row>
    <row r="75" spans="1:12" ht="15.75" x14ac:dyDescent="0.25">
      <c r="A75" s="118"/>
      <c r="B75" s="8" t="s">
        <v>133</v>
      </c>
      <c r="C75" s="6" t="s">
        <v>34</v>
      </c>
      <c r="D75" s="45">
        <v>20</v>
      </c>
      <c r="E75" s="6">
        <f>ROUNDUP(C10*0.7,0)</f>
        <v>7</v>
      </c>
      <c r="F75" s="45">
        <f t="shared" si="23"/>
        <v>140</v>
      </c>
      <c r="G75" s="32">
        <v>15</v>
      </c>
      <c r="H75" s="10">
        <f>1/Tabelle2[[#This Row],[Nutzungs-jahre]]</f>
        <v>6.6666666666666666E-2</v>
      </c>
      <c r="I75" s="45">
        <f t="shared" si="24"/>
        <v>9.3333333333333339</v>
      </c>
      <c r="J75" s="9">
        <f t="shared" si="25"/>
        <v>0.93333333333333335</v>
      </c>
      <c r="K75" s="9">
        <f t="shared" si="26"/>
        <v>3.1111111111111114E-2</v>
      </c>
      <c r="L75" s="29">
        <f>+Tabelle2[[#This Row],[€/Kg Honig]]/2</f>
        <v>1.5555555555555557E-2</v>
      </c>
    </row>
    <row r="76" spans="1:12" ht="15.75" x14ac:dyDescent="0.25">
      <c r="A76" s="118"/>
      <c r="B76" s="8" t="s">
        <v>135</v>
      </c>
      <c r="C76" s="6" t="s">
        <v>34</v>
      </c>
      <c r="D76" s="45">
        <v>60</v>
      </c>
      <c r="E76" s="6">
        <v>0</v>
      </c>
      <c r="F76" s="45">
        <f t="shared" si="23"/>
        <v>0</v>
      </c>
      <c r="G76" s="32">
        <v>15</v>
      </c>
      <c r="H76" s="10">
        <f>1/Tabelle2[[#This Row],[Nutzungs-jahre]]</f>
        <v>6.6666666666666666E-2</v>
      </c>
      <c r="I76" s="45">
        <f t="shared" si="24"/>
        <v>0</v>
      </c>
      <c r="J76" s="9">
        <f t="shared" si="25"/>
        <v>0</v>
      </c>
      <c r="K76" s="9">
        <f t="shared" si="26"/>
        <v>0</v>
      </c>
      <c r="L76" s="29">
        <f>+Tabelle2[[#This Row],[€/Kg Honig]]/2</f>
        <v>0</v>
      </c>
    </row>
    <row r="77" spans="1:12" ht="15.75" x14ac:dyDescent="0.25">
      <c r="A77" s="118"/>
      <c r="B77" s="8" t="s">
        <v>13</v>
      </c>
      <c r="C77" s="6" t="s">
        <v>34</v>
      </c>
      <c r="D77" s="45">
        <v>5</v>
      </c>
      <c r="E77" s="6">
        <v>1</v>
      </c>
      <c r="F77" s="45">
        <f t="shared" si="23"/>
        <v>5</v>
      </c>
      <c r="G77" s="32">
        <v>1</v>
      </c>
      <c r="H77" s="10">
        <f>1/Tabelle2[[#This Row],[Nutzungs-jahre]]</f>
        <v>1</v>
      </c>
      <c r="I77" s="45">
        <f t="shared" si="24"/>
        <v>5</v>
      </c>
      <c r="J77" s="9">
        <f t="shared" si="25"/>
        <v>0.5</v>
      </c>
      <c r="K77" s="9">
        <f t="shared" si="26"/>
        <v>1.6666666666666666E-2</v>
      </c>
      <c r="L77" s="29">
        <f>+Tabelle2[[#This Row],[€/Kg Honig]]/2</f>
        <v>8.3333333333333332E-3</v>
      </c>
    </row>
    <row r="78" spans="1:12" ht="15.75" x14ac:dyDescent="0.25">
      <c r="A78" s="118"/>
      <c r="B78" s="8" t="s">
        <v>136</v>
      </c>
      <c r="C78" s="6" t="s">
        <v>145</v>
      </c>
      <c r="D78" s="9">
        <f>+$C$13</f>
        <v>0.38</v>
      </c>
      <c r="E78" s="6">
        <f>+$C$15*$C$16</f>
        <v>120</v>
      </c>
      <c r="F78" s="45">
        <f t="shared" si="23"/>
        <v>45.6</v>
      </c>
      <c r="G78" s="32">
        <v>1</v>
      </c>
      <c r="H78" s="10">
        <f>1/Tabelle2[[#This Row],[Nutzungs-jahre]]</f>
        <v>1</v>
      </c>
      <c r="I78" s="45">
        <f t="shared" si="24"/>
        <v>45.6</v>
      </c>
      <c r="J78" s="9">
        <f t="shared" si="25"/>
        <v>4.5600000000000005</v>
      </c>
      <c r="K78" s="9">
        <f t="shared" si="26"/>
        <v>0.152</v>
      </c>
      <c r="L78" s="29">
        <f>+Tabelle2[[#This Row],[€/Kg Honig]]/2</f>
        <v>7.5999999999999998E-2</v>
      </c>
    </row>
    <row r="79" spans="1:12" ht="15.75" x14ac:dyDescent="0.25">
      <c r="A79" s="118"/>
      <c r="B79" s="8"/>
      <c r="C79" s="6"/>
      <c r="D79" s="45"/>
      <c r="E79" s="6"/>
      <c r="F79" s="45"/>
      <c r="G79" s="32"/>
      <c r="H79" s="10"/>
      <c r="I79" s="45"/>
      <c r="J79" s="9"/>
      <c r="K79" s="9"/>
      <c r="L79" s="29">
        <f>+Tabelle2[[#This Row],[€/Kg Honig]]/2</f>
        <v>0</v>
      </c>
    </row>
    <row r="80" spans="1:12" ht="15.75" x14ac:dyDescent="0.25">
      <c r="A80" s="118"/>
      <c r="B80" s="11" t="s">
        <v>127</v>
      </c>
      <c r="C80" s="6"/>
      <c r="D80" s="45"/>
      <c r="E80" s="22" t="s">
        <v>73</v>
      </c>
      <c r="F80" s="45">
        <f>SUBTOTAL(109,F81:F93)</f>
        <v>2951.3193277310929</v>
      </c>
      <c r="G80" s="32"/>
      <c r="H80" s="9"/>
      <c r="I80" s="45">
        <f>SUBTOTAL(109,I81:I93)</f>
        <v>143.95733893557423</v>
      </c>
      <c r="J80" s="9">
        <f>SUBTOTAL(109,J81:J93)</f>
        <v>14.395733893557422</v>
      </c>
      <c r="K80" s="9">
        <f>SUBTOTAL(109,K81:K93)</f>
        <v>0.47985779645191412</v>
      </c>
      <c r="L80" s="29">
        <f>+Tabelle2[[#This Row],[€/Kg Honig]]/2</f>
        <v>0.23992889822595706</v>
      </c>
    </row>
    <row r="81" spans="1:12" ht="15.75" x14ac:dyDescent="0.25">
      <c r="A81" s="118"/>
      <c r="B81" s="8" t="s">
        <v>72</v>
      </c>
      <c r="C81" s="6" t="s">
        <v>34</v>
      </c>
      <c r="D81" s="45">
        <v>150</v>
      </c>
      <c r="E81" s="6">
        <v>1</v>
      </c>
      <c r="F81" s="45">
        <f t="shared" ref="F81:F93" si="27">+E81*D81</f>
        <v>150</v>
      </c>
      <c r="G81" s="32">
        <v>15</v>
      </c>
      <c r="H81" s="10">
        <f>1/Tabelle2[[#This Row],[Nutzungs-jahre]]</f>
        <v>6.6666666666666666E-2</v>
      </c>
      <c r="I81" s="45">
        <f t="shared" ref="I81" si="28">+H81*F81</f>
        <v>10</v>
      </c>
      <c r="J81" s="9">
        <f t="shared" ref="J81:J92" si="29">+I81/$C$3</f>
        <v>1</v>
      </c>
      <c r="K81" s="9">
        <f t="shared" ref="K81:K92" si="30">+I81/$C$9</f>
        <v>3.3333333333333333E-2</v>
      </c>
      <c r="L81" s="29">
        <f>+Tabelle2[[#This Row],[€/Kg Honig]]/2</f>
        <v>1.6666666666666666E-2</v>
      </c>
    </row>
    <row r="82" spans="1:12" ht="15.75" x14ac:dyDescent="0.25">
      <c r="A82" s="118"/>
      <c r="B82" s="8" t="s">
        <v>1</v>
      </c>
      <c r="C82" s="6" t="s">
        <v>34</v>
      </c>
      <c r="D82" s="45">
        <f>1615*(1-$C$14/1.19)</f>
        <v>1207.8571428571429</v>
      </c>
      <c r="E82" s="6">
        <v>1</v>
      </c>
      <c r="F82" s="45">
        <f t="shared" si="27"/>
        <v>1207.8571428571429</v>
      </c>
      <c r="G82" s="32">
        <v>25</v>
      </c>
      <c r="H82" s="10">
        <f>1/Tabelle2[[#This Row],[Nutzungs-jahre]]</f>
        <v>0.04</v>
      </c>
      <c r="I82" s="45">
        <f t="shared" si="10"/>
        <v>48.314285714285717</v>
      </c>
      <c r="J82" s="9">
        <f t="shared" si="29"/>
        <v>4.8314285714285718</v>
      </c>
      <c r="K82" s="9">
        <f t="shared" si="30"/>
        <v>0.16104761904761905</v>
      </c>
      <c r="L82" s="29">
        <f>+Tabelle2[[#This Row],[€/Kg Honig]]/2</f>
        <v>8.0523809523809525E-2</v>
      </c>
    </row>
    <row r="83" spans="1:12" ht="15.75" x14ac:dyDescent="0.25">
      <c r="A83" s="118"/>
      <c r="B83" s="8" t="s">
        <v>103</v>
      </c>
      <c r="C83" s="6" t="s">
        <v>34</v>
      </c>
      <c r="D83" s="45">
        <f>11+1.5</f>
        <v>12.5</v>
      </c>
      <c r="E83" s="6">
        <f>+E51*1</f>
        <v>10</v>
      </c>
      <c r="F83" s="45">
        <f t="shared" si="27"/>
        <v>125</v>
      </c>
      <c r="G83" s="32">
        <v>20</v>
      </c>
      <c r="H83" s="10">
        <f>1/Tabelle2[[#This Row],[Nutzungs-jahre]]</f>
        <v>0.05</v>
      </c>
      <c r="I83" s="45">
        <f t="shared" si="10"/>
        <v>6.25</v>
      </c>
      <c r="J83" s="9">
        <f t="shared" si="29"/>
        <v>0.625</v>
      </c>
      <c r="K83" s="9">
        <f t="shared" si="30"/>
        <v>2.0833333333333332E-2</v>
      </c>
      <c r="L83" s="29">
        <f>+Tabelle2[[#This Row],[€/Kg Honig]]/2</f>
        <v>1.0416666666666666E-2</v>
      </c>
    </row>
    <row r="84" spans="1:12" ht="15.75" x14ac:dyDescent="0.25">
      <c r="A84" s="118"/>
      <c r="B84" s="8" t="s">
        <v>105</v>
      </c>
      <c r="C84" s="6" t="s">
        <v>34</v>
      </c>
      <c r="D84" s="45">
        <f>1660*(1-$C$14/1.19)</f>
        <v>1241.5126050420167</v>
      </c>
      <c r="E84" s="6">
        <v>0</v>
      </c>
      <c r="F84" s="45">
        <f t="shared" si="27"/>
        <v>0</v>
      </c>
      <c r="G84" s="32">
        <v>20</v>
      </c>
      <c r="H84" s="10">
        <f>1/Tabelle2[[#This Row],[Nutzungs-jahre]]</f>
        <v>0.05</v>
      </c>
      <c r="I84" s="45">
        <f t="shared" si="10"/>
        <v>0</v>
      </c>
      <c r="J84" s="9">
        <f t="shared" si="29"/>
        <v>0</v>
      </c>
      <c r="K84" s="9">
        <f t="shared" si="30"/>
        <v>0</v>
      </c>
      <c r="L84" s="29">
        <f>+Tabelle2[[#This Row],[€/Kg Honig]]/2</f>
        <v>0</v>
      </c>
    </row>
    <row r="85" spans="1:12" ht="31.5" x14ac:dyDescent="0.25">
      <c r="A85" s="118"/>
      <c r="B85" s="8" t="s">
        <v>49</v>
      </c>
      <c r="C85" s="6" t="s">
        <v>117</v>
      </c>
      <c r="D85" s="45">
        <f>150*(1-$C$14/1.19)</f>
        <v>112.18487394957984</v>
      </c>
      <c r="E85" s="6">
        <v>1</v>
      </c>
      <c r="F85" s="45">
        <f t="shared" si="27"/>
        <v>112.18487394957984</v>
      </c>
      <c r="G85" s="32">
        <v>20</v>
      </c>
      <c r="H85" s="10">
        <f>1/Tabelle2[[#This Row],[Nutzungs-jahre]]</f>
        <v>0.05</v>
      </c>
      <c r="I85" s="45">
        <f t="shared" si="10"/>
        <v>5.6092436974789921</v>
      </c>
      <c r="J85" s="9">
        <f t="shared" si="29"/>
        <v>0.56092436974789917</v>
      </c>
      <c r="K85" s="9">
        <f t="shared" si="30"/>
        <v>1.8697478991596642E-2</v>
      </c>
      <c r="L85" s="29">
        <f>+Tabelle2[[#This Row],[€/Kg Honig]]/2</f>
        <v>9.3487394957983208E-3</v>
      </c>
    </row>
    <row r="86" spans="1:12" ht="15.75" x14ac:dyDescent="0.25">
      <c r="A86" s="118"/>
      <c r="B86" s="8" t="s">
        <v>129</v>
      </c>
      <c r="C86" s="6" t="s">
        <v>34</v>
      </c>
      <c r="D86" s="45">
        <f>269*(1-$C$14/1.19)</f>
        <v>201.18487394957984</v>
      </c>
      <c r="E86" s="6">
        <v>1</v>
      </c>
      <c r="F86" s="45">
        <f t="shared" si="27"/>
        <v>201.18487394957984</v>
      </c>
      <c r="G86" s="32">
        <v>30</v>
      </c>
      <c r="H86" s="10">
        <f>1/Tabelle2[[#This Row],[Nutzungs-jahre]]</f>
        <v>3.3333333333333333E-2</v>
      </c>
      <c r="I86" s="45">
        <f t="shared" si="10"/>
        <v>6.7061624649859946</v>
      </c>
      <c r="J86" s="9">
        <f t="shared" si="29"/>
        <v>0.67061624649859941</v>
      </c>
      <c r="K86" s="9">
        <f t="shared" si="30"/>
        <v>2.2353874883286648E-2</v>
      </c>
      <c r="L86" s="29">
        <f>+Tabelle2[[#This Row],[€/Kg Honig]]/2</f>
        <v>1.1176937441643324E-2</v>
      </c>
    </row>
    <row r="87" spans="1:12" ht="15.75" x14ac:dyDescent="0.25">
      <c r="A87" s="118"/>
      <c r="B87" s="8" t="s">
        <v>24</v>
      </c>
      <c r="C87" s="6" t="s">
        <v>34</v>
      </c>
      <c r="D87" s="45">
        <v>150</v>
      </c>
      <c r="E87" s="6">
        <v>1</v>
      </c>
      <c r="F87" s="45">
        <f t="shared" si="27"/>
        <v>150</v>
      </c>
      <c r="G87" s="32">
        <v>15</v>
      </c>
      <c r="H87" s="10">
        <f>1/Tabelle2[[#This Row],[Nutzungs-jahre]]</f>
        <v>6.6666666666666666E-2</v>
      </c>
      <c r="I87" s="45">
        <f t="shared" si="10"/>
        <v>10</v>
      </c>
      <c r="J87" s="9">
        <f t="shared" si="29"/>
        <v>1</v>
      </c>
      <c r="K87" s="9">
        <f t="shared" si="30"/>
        <v>3.3333333333333333E-2</v>
      </c>
      <c r="L87" s="29">
        <f>+Tabelle2[[#This Row],[€/Kg Honig]]/2</f>
        <v>1.6666666666666666E-2</v>
      </c>
    </row>
    <row r="88" spans="1:12" ht="15.75" x14ac:dyDescent="0.25">
      <c r="A88" s="118"/>
      <c r="B88" s="8" t="s">
        <v>22</v>
      </c>
      <c r="C88" s="6" t="s">
        <v>34</v>
      </c>
      <c r="D88" s="45">
        <f>60*(1-$C$14/1.19)</f>
        <v>44.87394957983193</v>
      </c>
      <c r="E88" s="6">
        <v>1</v>
      </c>
      <c r="F88" s="45">
        <f t="shared" si="27"/>
        <v>44.87394957983193</v>
      </c>
      <c r="G88" s="32">
        <v>20</v>
      </c>
      <c r="H88" s="10">
        <f>1/Tabelle2[[#This Row],[Nutzungs-jahre]]</f>
        <v>0.05</v>
      </c>
      <c r="I88" s="45">
        <f t="shared" si="10"/>
        <v>2.2436974789915967</v>
      </c>
      <c r="J88" s="9">
        <f t="shared" si="29"/>
        <v>0.22436974789915967</v>
      </c>
      <c r="K88" s="9">
        <f t="shared" si="30"/>
        <v>7.478991596638656E-3</v>
      </c>
      <c r="L88" s="29">
        <f>+Tabelle2[[#This Row],[€/Kg Honig]]/2</f>
        <v>3.739495798319328E-3</v>
      </c>
    </row>
    <row r="89" spans="1:12" ht="15.75" x14ac:dyDescent="0.25">
      <c r="A89" s="118"/>
      <c r="B89" s="8" t="s">
        <v>130</v>
      </c>
      <c r="C89" s="6" t="s">
        <v>34</v>
      </c>
      <c r="D89" s="45">
        <v>549</v>
      </c>
      <c r="E89" s="6">
        <v>1</v>
      </c>
      <c r="F89" s="45">
        <f t="shared" si="27"/>
        <v>549</v>
      </c>
      <c r="G89" s="32">
        <v>25</v>
      </c>
      <c r="H89" s="10">
        <f>1/Tabelle2[[#This Row],[Nutzungs-jahre]]</f>
        <v>0.04</v>
      </c>
      <c r="I89" s="45">
        <f t="shared" si="10"/>
        <v>21.96</v>
      </c>
      <c r="J89" s="9">
        <f t="shared" si="29"/>
        <v>2.1960000000000002</v>
      </c>
      <c r="K89" s="9">
        <f t="shared" si="30"/>
        <v>7.3200000000000001E-2</v>
      </c>
      <c r="L89" s="29">
        <f>+Tabelle2[[#This Row],[€/Kg Honig]]/2</f>
        <v>3.6600000000000001E-2</v>
      </c>
    </row>
    <row r="90" spans="1:12" ht="15.75" x14ac:dyDescent="0.25">
      <c r="A90" s="118"/>
      <c r="B90" s="8" t="s">
        <v>156</v>
      </c>
      <c r="C90" s="6" t="s">
        <v>34</v>
      </c>
      <c r="D90" s="45">
        <f>1700*0.8</f>
        <v>1360</v>
      </c>
      <c r="E90" s="6">
        <v>0</v>
      </c>
      <c r="F90" s="45">
        <f t="shared" ref="F90" si="31">+E90*D90</f>
        <v>0</v>
      </c>
      <c r="G90" s="32">
        <v>25</v>
      </c>
      <c r="H90" s="10">
        <f>1/Tabelle2[[#This Row],[Nutzungs-jahre]]</f>
        <v>0.04</v>
      </c>
      <c r="I90" s="45">
        <f t="shared" ref="I90" si="32">+H90*F90</f>
        <v>0</v>
      </c>
      <c r="J90" s="9">
        <f t="shared" ref="J90" si="33">+I90/$C$3</f>
        <v>0</v>
      </c>
      <c r="K90" s="9">
        <f t="shared" ref="K90" si="34">+I90/$C$9</f>
        <v>0</v>
      </c>
      <c r="L90" s="29">
        <f>+Tabelle2[[#This Row],[€/Kg Honig]]/2</f>
        <v>0</v>
      </c>
    </row>
    <row r="91" spans="1:12" ht="15.75" x14ac:dyDescent="0.25">
      <c r="A91" s="118"/>
      <c r="B91" s="8" t="s">
        <v>131</v>
      </c>
      <c r="C91" s="6" t="s">
        <v>34</v>
      </c>
      <c r="D91" s="45">
        <v>300</v>
      </c>
      <c r="E91" s="6">
        <v>1</v>
      </c>
      <c r="F91" s="45">
        <f t="shared" si="27"/>
        <v>300</v>
      </c>
      <c r="G91" s="32">
        <v>15</v>
      </c>
      <c r="H91" s="10">
        <f>1/Tabelle2[[#This Row],[Nutzungs-jahre]]</f>
        <v>6.6666666666666666E-2</v>
      </c>
      <c r="I91" s="45">
        <f t="shared" si="10"/>
        <v>20</v>
      </c>
      <c r="J91" s="9">
        <f t="shared" si="29"/>
        <v>2</v>
      </c>
      <c r="K91" s="9">
        <f t="shared" si="30"/>
        <v>6.6666666666666666E-2</v>
      </c>
      <c r="L91" s="29">
        <f>+Tabelle2[[#This Row],[€/Kg Honig]]/2</f>
        <v>3.3333333333333333E-2</v>
      </c>
    </row>
    <row r="92" spans="1:12" ht="15.75" x14ac:dyDescent="0.25">
      <c r="A92" s="118"/>
      <c r="B92" s="8" t="s">
        <v>11</v>
      </c>
      <c r="C92" s="6" t="s">
        <v>34</v>
      </c>
      <c r="D92" s="45">
        <v>4</v>
      </c>
      <c r="E92" s="6">
        <f>+ROUNDUP(C9/12,0)</f>
        <v>25</v>
      </c>
      <c r="F92" s="45">
        <f t="shared" si="27"/>
        <v>100</v>
      </c>
      <c r="G92" s="32">
        <v>8</v>
      </c>
      <c r="H92" s="10">
        <f>1/Tabelle2[[#This Row],[Nutzungs-jahre]]</f>
        <v>0.125</v>
      </c>
      <c r="I92" s="45">
        <f t="shared" ref="I92" si="35">+H92*F92</f>
        <v>12.5</v>
      </c>
      <c r="J92" s="9">
        <f t="shared" si="29"/>
        <v>1.25</v>
      </c>
      <c r="K92" s="9">
        <f t="shared" si="30"/>
        <v>4.1666666666666664E-2</v>
      </c>
      <c r="L92" s="29">
        <f>+Tabelle2[[#This Row],[€/Kg Honig]]/2</f>
        <v>2.0833333333333332E-2</v>
      </c>
    </row>
    <row r="93" spans="1:12" ht="15.75" x14ac:dyDescent="0.25">
      <c r="A93" s="118"/>
      <c r="B93" s="8" t="s">
        <v>84</v>
      </c>
      <c r="C93" s="6" t="s">
        <v>34</v>
      </c>
      <c r="D93" s="45">
        <f>15*(1-$C$14/1.19)</f>
        <v>11.218487394957982</v>
      </c>
      <c r="E93" s="6">
        <v>1</v>
      </c>
      <c r="F93" s="45">
        <f t="shared" si="27"/>
        <v>11.218487394957982</v>
      </c>
      <c r="G93" s="32">
        <v>30</v>
      </c>
      <c r="H93" s="10">
        <f>1/Tabelle2[[#This Row],[Nutzungs-jahre]]</f>
        <v>3.3333333333333333E-2</v>
      </c>
      <c r="I93" s="45">
        <f t="shared" ref="I93" si="36">+H93*F93</f>
        <v>0.37394957983193272</v>
      </c>
      <c r="J93" s="9">
        <f t="shared" ref="J93" si="37">+I93/$C$3</f>
        <v>3.7394957983193269E-2</v>
      </c>
      <c r="K93" s="9">
        <f t="shared" ref="K93" si="38">+I93/$C$9</f>
        <v>1.2464985994397758E-3</v>
      </c>
      <c r="L93" s="29">
        <f>+Tabelle2[[#This Row],[€/Kg Honig]]/2</f>
        <v>6.2324929971988789E-4</v>
      </c>
    </row>
    <row r="94" spans="1:12" ht="15.75" x14ac:dyDescent="0.25">
      <c r="A94" s="118"/>
      <c r="B94" s="8"/>
      <c r="C94" s="6"/>
      <c r="D94" s="45"/>
      <c r="E94" s="6"/>
      <c r="F94" s="45"/>
      <c r="G94" s="32"/>
      <c r="H94" s="10"/>
      <c r="I94" s="45"/>
      <c r="J94" s="9"/>
      <c r="K94" s="9"/>
      <c r="L94" s="29"/>
    </row>
    <row r="95" spans="1:12" ht="15.75" x14ac:dyDescent="0.25">
      <c r="A95" s="118"/>
      <c r="B95" s="11" t="s">
        <v>128</v>
      </c>
      <c r="C95" s="6"/>
      <c r="D95" s="45"/>
      <c r="E95" s="22" t="s">
        <v>73</v>
      </c>
      <c r="F95" s="45">
        <f>SUBTOTAL(109,F96:F102)</f>
        <v>730.58823529411768</v>
      </c>
      <c r="G95" s="32"/>
      <c r="H95" s="9"/>
      <c r="I95" s="45">
        <f>SUBTOTAL(109,I96:I102)</f>
        <v>58.507002801120457</v>
      </c>
      <c r="J95" s="9">
        <f>SUBTOTAL(109,J96:J102)</f>
        <v>5.8507002801120462</v>
      </c>
      <c r="K95" s="9">
        <f>SUBTOTAL(109,K96:K102)</f>
        <v>0.19502334267040153</v>
      </c>
      <c r="L95" s="29">
        <f>+Tabelle2[[#This Row],[€/Kg Honig]]/2</f>
        <v>9.7511671335200764E-2</v>
      </c>
    </row>
    <row r="96" spans="1:12" ht="15.75" x14ac:dyDescent="0.25">
      <c r="A96" s="118"/>
      <c r="B96" s="8" t="s">
        <v>21</v>
      </c>
      <c r="C96" s="6" t="s">
        <v>34</v>
      </c>
      <c r="D96" s="45">
        <f>70*(1-$C$14/1.19)</f>
        <v>52.352941176470587</v>
      </c>
      <c r="E96" s="6">
        <v>1</v>
      </c>
      <c r="F96" s="45">
        <f t="shared" ref="F96:F102" si="39">+E96*D96</f>
        <v>52.352941176470587</v>
      </c>
      <c r="G96" s="32">
        <v>20</v>
      </c>
      <c r="H96" s="10">
        <f>1/Tabelle2[[#This Row],[Nutzungs-jahre]]</f>
        <v>0.05</v>
      </c>
      <c r="I96" s="45">
        <f>+H96*F96</f>
        <v>2.6176470588235294</v>
      </c>
      <c r="J96" s="9">
        <f>+I96/$C$3</f>
        <v>0.26176470588235295</v>
      </c>
      <c r="K96" s="9">
        <f>+I96/$C$9</f>
        <v>8.7254901960784319E-3</v>
      </c>
      <c r="L96" s="29">
        <f>+Tabelle2[[#This Row],[€/Kg Honig]]/2</f>
        <v>4.362745098039216E-3</v>
      </c>
    </row>
    <row r="97" spans="1:12" ht="15.75" x14ac:dyDescent="0.25">
      <c r="A97" s="118"/>
      <c r="B97" s="8" t="s">
        <v>20</v>
      </c>
      <c r="C97" s="6" t="s">
        <v>34</v>
      </c>
      <c r="D97" s="45">
        <f>30*(1-$C$14/1.19)</f>
        <v>22.436974789915965</v>
      </c>
      <c r="E97" s="6">
        <v>2</v>
      </c>
      <c r="F97" s="45">
        <f t="shared" si="39"/>
        <v>44.87394957983193</v>
      </c>
      <c r="G97" s="32">
        <v>30</v>
      </c>
      <c r="H97" s="10">
        <f>1/Tabelle2[[#This Row],[Nutzungs-jahre]]</f>
        <v>3.3333333333333333E-2</v>
      </c>
      <c r="I97" s="45">
        <f>+H97*F97</f>
        <v>1.4957983193277309</v>
      </c>
      <c r="J97" s="9">
        <f>+I97/$C$3</f>
        <v>0.14957983193277308</v>
      </c>
      <c r="K97" s="9">
        <f>+I97/$C$9</f>
        <v>4.9859943977591031E-3</v>
      </c>
      <c r="L97" s="29">
        <f>+Tabelle2[[#This Row],[€/Kg Honig]]/2</f>
        <v>2.4929971988795516E-3</v>
      </c>
    </row>
    <row r="98" spans="1:12" ht="15.75" x14ac:dyDescent="0.25">
      <c r="A98" s="118"/>
      <c r="B98" s="8" t="s">
        <v>19</v>
      </c>
      <c r="C98" s="6" t="s">
        <v>34</v>
      </c>
      <c r="D98" s="45">
        <f>630*(1-$C$14/1.19)</f>
        <v>471.1764705882353</v>
      </c>
      <c r="E98" s="6">
        <v>1</v>
      </c>
      <c r="F98" s="45">
        <f t="shared" si="39"/>
        <v>471.1764705882353</v>
      </c>
      <c r="G98" s="32">
        <v>10</v>
      </c>
      <c r="H98" s="10">
        <f>1/Tabelle2[[#This Row],[Nutzungs-jahre]]</f>
        <v>0.1</v>
      </c>
      <c r="I98" s="45">
        <f>+H98*F98</f>
        <v>47.117647058823536</v>
      </c>
      <c r="J98" s="9">
        <f>+I98/$C$3</f>
        <v>4.711764705882354</v>
      </c>
      <c r="K98" s="9">
        <f>+I98/$C$9</f>
        <v>0.15705882352941178</v>
      </c>
      <c r="L98" s="29">
        <f>+Tabelle2[[#This Row],[€/Kg Honig]]/2</f>
        <v>7.8529411764705889E-2</v>
      </c>
    </row>
    <row r="99" spans="1:12" ht="15.75" x14ac:dyDescent="0.25">
      <c r="A99" s="118"/>
      <c r="B99" s="8" t="s">
        <v>23</v>
      </c>
      <c r="C99" s="6" t="s">
        <v>34</v>
      </c>
      <c r="D99" s="45">
        <f>150*(1-$C$14/1.19)</f>
        <v>112.18487394957984</v>
      </c>
      <c r="E99" s="6">
        <v>1</v>
      </c>
      <c r="F99" s="45">
        <f t="shared" si="39"/>
        <v>112.18487394957984</v>
      </c>
      <c r="G99" s="32">
        <v>20</v>
      </c>
      <c r="H99" s="10">
        <f>1/Tabelle2[[#This Row],[Nutzungs-jahre]]</f>
        <v>0.05</v>
      </c>
      <c r="I99" s="45">
        <f>+H99*F99</f>
        <v>5.6092436974789921</v>
      </c>
      <c r="J99" s="9">
        <f>+I99/$C$3</f>
        <v>0.56092436974789917</v>
      </c>
      <c r="K99" s="9">
        <f>+I99/$C$9</f>
        <v>1.8697478991596642E-2</v>
      </c>
      <c r="L99" s="29">
        <f>+Tabelle2[[#This Row],[€/Kg Honig]]/2</f>
        <v>9.3487394957983208E-3</v>
      </c>
    </row>
    <row r="100" spans="1:12" ht="15.75" x14ac:dyDescent="0.25">
      <c r="A100" s="118"/>
      <c r="B100" s="8" t="s">
        <v>98</v>
      </c>
      <c r="C100" s="6" t="s">
        <v>34</v>
      </c>
      <c r="D100" s="45">
        <v>140</v>
      </c>
      <c r="E100" s="6">
        <v>0</v>
      </c>
      <c r="F100" s="45">
        <f t="shared" si="39"/>
        <v>0</v>
      </c>
      <c r="G100" s="32">
        <v>20</v>
      </c>
      <c r="H100" s="10">
        <f>1/Tabelle2[[#This Row],[Nutzungs-jahre]]</f>
        <v>0.05</v>
      </c>
      <c r="I100" s="45">
        <f t="shared" ref="I100" si="40">+H100*F100</f>
        <v>0</v>
      </c>
      <c r="J100" s="9">
        <f t="shared" ref="J100" si="41">+I100/$C$3</f>
        <v>0</v>
      </c>
      <c r="K100" s="9">
        <f t="shared" ref="K100" si="42">+I100/$C$9</f>
        <v>0</v>
      </c>
      <c r="L100" s="29">
        <f>+Tabelle2[[#This Row],[€/Kg Honig]]/2</f>
        <v>0</v>
      </c>
    </row>
    <row r="101" spans="1:12" ht="15.75" x14ac:dyDescent="0.25">
      <c r="A101" s="118"/>
      <c r="B101" s="8" t="s">
        <v>99</v>
      </c>
      <c r="C101" s="6" t="s">
        <v>34</v>
      </c>
      <c r="D101" s="45">
        <v>50</v>
      </c>
      <c r="E101" s="6">
        <f>+E100</f>
        <v>0</v>
      </c>
      <c r="F101" s="45">
        <f t="shared" si="39"/>
        <v>0</v>
      </c>
      <c r="G101" s="32">
        <v>3</v>
      </c>
      <c r="H101" s="10">
        <f>1/Tabelle2[[#This Row],[Nutzungs-jahre]]</f>
        <v>0.33333333333333331</v>
      </c>
      <c r="I101" s="45">
        <f t="shared" ref="I101" si="43">+H101*F101</f>
        <v>0</v>
      </c>
      <c r="J101" s="9">
        <f t="shared" ref="J101" si="44">+I101/$C$3</f>
        <v>0</v>
      </c>
      <c r="K101" s="9">
        <f t="shared" ref="K101" si="45">+I101/$C$9</f>
        <v>0</v>
      </c>
      <c r="L101" s="29">
        <f>+Tabelle2[[#This Row],[€/Kg Honig]]/2</f>
        <v>0</v>
      </c>
    </row>
    <row r="102" spans="1:12" ht="15.75" x14ac:dyDescent="0.25">
      <c r="A102" s="118"/>
      <c r="B102" s="8" t="s">
        <v>51</v>
      </c>
      <c r="C102" s="6" t="s">
        <v>34</v>
      </c>
      <c r="D102" s="45">
        <v>50</v>
      </c>
      <c r="E102" s="6">
        <v>1</v>
      </c>
      <c r="F102" s="45">
        <f t="shared" si="39"/>
        <v>50</v>
      </c>
      <c r="G102" s="32">
        <v>30</v>
      </c>
      <c r="H102" s="10">
        <f>1/Tabelle2[[#This Row],[Nutzungs-jahre]]</f>
        <v>3.3333333333333333E-2</v>
      </c>
      <c r="I102" s="45">
        <f>+H102*F102</f>
        <v>1.6666666666666667</v>
      </c>
      <c r="J102" s="9">
        <f>+I102/$C$3</f>
        <v>0.16666666666666669</v>
      </c>
      <c r="K102" s="9">
        <f>+I102/$C$9</f>
        <v>5.5555555555555558E-3</v>
      </c>
      <c r="L102" s="29">
        <f>+Tabelle2[[#This Row],[€/Kg Honig]]/2</f>
        <v>2.7777777777777779E-3</v>
      </c>
    </row>
    <row r="103" spans="1:12" ht="15.75" x14ac:dyDescent="0.25">
      <c r="A103" s="118"/>
      <c r="B103" s="8"/>
      <c r="C103" s="6"/>
      <c r="D103" s="45"/>
      <c r="E103" s="6"/>
      <c r="F103" s="45"/>
      <c r="G103" s="32"/>
      <c r="H103" s="10"/>
      <c r="I103" s="45"/>
      <c r="J103" s="9"/>
      <c r="K103" s="9"/>
      <c r="L103" s="29"/>
    </row>
    <row r="104" spans="1:12" ht="15.75" x14ac:dyDescent="0.25">
      <c r="A104" s="118"/>
      <c r="B104" s="11" t="s">
        <v>80</v>
      </c>
      <c r="C104" s="6"/>
      <c r="D104" s="45"/>
      <c r="E104" s="22" t="s">
        <v>73</v>
      </c>
      <c r="F104" s="45">
        <f>SUBTOTAL(109,F105:F113)</f>
        <v>378.67599999999999</v>
      </c>
      <c r="G104" s="32"/>
      <c r="H104" s="9"/>
      <c r="I104" s="45">
        <f>SUBTOTAL(109,I105:I113)</f>
        <v>158.67600000000002</v>
      </c>
      <c r="J104" s="9">
        <f>SUBTOTAL(109,J105:J113)</f>
        <v>15.867599999999999</v>
      </c>
      <c r="K104" s="9">
        <f>SUBTOTAL(109,K105:K113)</f>
        <v>0.52891999999999995</v>
      </c>
      <c r="L104" s="29">
        <f>+Tabelle2[[#This Row],[€/Kg Honig]]/2</f>
        <v>0.26445999999999997</v>
      </c>
    </row>
    <row r="105" spans="1:12" ht="15.75" x14ac:dyDescent="0.25">
      <c r="A105" s="118"/>
      <c r="B105" s="8" t="s">
        <v>107</v>
      </c>
      <c r="C105" s="6" t="s">
        <v>116</v>
      </c>
      <c r="D105" s="45">
        <v>15</v>
      </c>
      <c r="E105" s="6">
        <v>1</v>
      </c>
      <c r="F105" s="45">
        <f t="shared" ref="F105:F113" si="46">+E105*D105</f>
        <v>15</v>
      </c>
      <c r="G105" s="32">
        <v>1</v>
      </c>
      <c r="H105" s="10">
        <f>1/Tabelle2[[#This Row],[Nutzungs-jahre]]</f>
        <v>1</v>
      </c>
      <c r="I105" s="45">
        <f t="shared" si="10"/>
        <v>15</v>
      </c>
      <c r="J105" s="9">
        <f t="shared" ref="J105:J110" si="47">+I105/$C$3</f>
        <v>1.5</v>
      </c>
      <c r="K105" s="9">
        <f t="shared" ref="K105:K113" si="48">+I105/$C$9</f>
        <v>0.05</v>
      </c>
      <c r="L105" s="29">
        <f>+Tabelle2[[#This Row],[€/Kg Honig]]/2</f>
        <v>2.5000000000000001E-2</v>
      </c>
    </row>
    <row r="106" spans="1:12" ht="15.75" x14ac:dyDescent="0.25">
      <c r="A106" s="118"/>
      <c r="B106" s="8" t="s">
        <v>108</v>
      </c>
      <c r="C106" s="6" t="s">
        <v>116</v>
      </c>
      <c r="D106" s="45">
        <v>15</v>
      </c>
      <c r="E106" s="6">
        <v>1</v>
      </c>
      <c r="F106" s="45">
        <f t="shared" si="46"/>
        <v>15</v>
      </c>
      <c r="G106" s="32">
        <v>1</v>
      </c>
      <c r="H106" s="10">
        <f>1/Tabelle2[[#This Row],[Nutzungs-jahre]]</f>
        <v>1</v>
      </c>
      <c r="I106" s="45">
        <f t="shared" ref="I106" si="49">+H106*F106</f>
        <v>15</v>
      </c>
      <c r="J106" s="9">
        <f t="shared" si="47"/>
        <v>1.5</v>
      </c>
      <c r="K106" s="9">
        <f t="shared" ref="K106" si="50">+I106/$C$9</f>
        <v>0.05</v>
      </c>
      <c r="L106" s="29">
        <f>+Tabelle2[[#This Row],[€/Kg Honig]]/2</f>
        <v>2.5000000000000001E-2</v>
      </c>
    </row>
    <row r="107" spans="1:12" ht="15.75" x14ac:dyDescent="0.25">
      <c r="A107" s="118"/>
      <c r="B107" s="8" t="s">
        <v>106</v>
      </c>
      <c r="C107" s="6" t="s">
        <v>116</v>
      </c>
      <c r="D107" s="45">
        <v>5</v>
      </c>
      <c r="E107" s="6">
        <v>1</v>
      </c>
      <c r="F107" s="45">
        <f t="shared" si="46"/>
        <v>5</v>
      </c>
      <c r="G107" s="32">
        <v>1</v>
      </c>
      <c r="H107" s="10">
        <f>1/Tabelle2[[#This Row],[Nutzungs-jahre]]</f>
        <v>1</v>
      </c>
      <c r="I107" s="45">
        <f t="shared" ref="I107" si="51">+H107*F107</f>
        <v>5</v>
      </c>
      <c r="J107" s="9">
        <f t="shared" si="47"/>
        <v>0.5</v>
      </c>
      <c r="K107" s="9">
        <f t="shared" ref="K107" si="52">+I107/$C$9</f>
        <v>1.6666666666666666E-2</v>
      </c>
      <c r="L107" s="29">
        <f>+Tabelle2[[#This Row],[€/Kg Honig]]/2</f>
        <v>8.3333333333333332E-3</v>
      </c>
    </row>
    <row r="108" spans="1:12" ht="15.75" x14ac:dyDescent="0.25">
      <c r="A108" s="118"/>
      <c r="B108" s="8" t="s">
        <v>109</v>
      </c>
      <c r="C108" s="6" t="s">
        <v>110</v>
      </c>
      <c r="D108" s="9">
        <v>0.26</v>
      </c>
      <c r="E108" s="6">
        <f>+Tabelle2[[#This Row],[€/Einheit]]*C3</f>
        <v>2.6</v>
      </c>
      <c r="F108" s="45">
        <f t="shared" si="46"/>
        <v>0.67600000000000005</v>
      </c>
      <c r="G108" s="32">
        <v>1</v>
      </c>
      <c r="H108" s="10">
        <f>1/Tabelle2[[#This Row],[Nutzungs-jahre]]</f>
        <v>1</v>
      </c>
      <c r="I108" s="45">
        <f t="shared" ref="I108" si="53">+H108*F108</f>
        <v>0.67600000000000005</v>
      </c>
      <c r="J108" s="9">
        <f t="shared" si="47"/>
        <v>6.7600000000000007E-2</v>
      </c>
      <c r="K108" s="9">
        <f t="shared" ref="K108" si="54">+I108/$C$9</f>
        <v>2.2533333333333333E-3</v>
      </c>
      <c r="L108" s="29">
        <f>+Tabelle2[[#This Row],[€/Kg Honig]]/2</f>
        <v>1.1266666666666667E-3</v>
      </c>
    </row>
    <row r="109" spans="1:12" ht="15.75" x14ac:dyDescent="0.25">
      <c r="A109" s="118"/>
      <c r="B109" s="8" t="s">
        <v>111</v>
      </c>
      <c r="C109" s="6" t="s">
        <v>116</v>
      </c>
      <c r="D109" s="45">
        <v>30</v>
      </c>
      <c r="E109" s="6">
        <v>0</v>
      </c>
      <c r="F109" s="45">
        <f t="shared" si="46"/>
        <v>0</v>
      </c>
      <c r="G109" s="32">
        <v>1</v>
      </c>
      <c r="H109" s="10">
        <f>1/Tabelle2[[#This Row],[Nutzungs-jahre]]</f>
        <v>1</v>
      </c>
      <c r="I109" s="45">
        <f t="shared" si="10"/>
        <v>0</v>
      </c>
      <c r="J109" s="9">
        <f t="shared" si="47"/>
        <v>0</v>
      </c>
      <c r="K109" s="9">
        <f t="shared" si="48"/>
        <v>0</v>
      </c>
      <c r="L109" s="29">
        <f>+Tabelle2[[#This Row],[€/Kg Honig]]/2</f>
        <v>0</v>
      </c>
    </row>
    <row r="110" spans="1:12" ht="15.75" x14ac:dyDescent="0.25">
      <c r="A110" s="118"/>
      <c r="B110" s="8" t="s">
        <v>112</v>
      </c>
      <c r="C110" s="6" t="s">
        <v>116</v>
      </c>
      <c r="D110" s="45">
        <v>53</v>
      </c>
      <c r="E110" s="6">
        <v>1</v>
      </c>
      <c r="F110" s="45">
        <f t="shared" si="46"/>
        <v>53</v>
      </c>
      <c r="G110" s="32">
        <v>1</v>
      </c>
      <c r="H110" s="10">
        <f>1/Tabelle2[[#This Row],[Nutzungs-jahre]]</f>
        <v>1</v>
      </c>
      <c r="I110" s="45">
        <f t="shared" si="10"/>
        <v>53</v>
      </c>
      <c r="J110" s="9">
        <f t="shared" si="47"/>
        <v>5.3</v>
      </c>
      <c r="K110" s="9">
        <f t="shared" si="48"/>
        <v>0.17666666666666667</v>
      </c>
      <c r="L110" s="29">
        <f>+Tabelle2[[#This Row],[€/Kg Honig]]/2</f>
        <v>8.8333333333333333E-2</v>
      </c>
    </row>
    <row r="111" spans="1:12" ht="15.75" x14ac:dyDescent="0.25">
      <c r="A111" s="118"/>
      <c r="B111" s="8" t="s">
        <v>50</v>
      </c>
      <c r="C111" s="6" t="s">
        <v>47</v>
      </c>
      <c r="D111" s="45">
        <v>200</v>
      </c>
      <c r="E111" s="6">
        <v>1</v>
      </c>
      <c r="F111" s="45">
        <f t="shared" si="46"/>
        <v>200</v>
      </c>
      <c r="G111" s="32">
        <v>30</v>
      </c>
      <c r="H111" s="10">
        <f>1/Tabelle2[[#This Row],[Nutzungs-jahre]]</f>
        <v>3.3333333333333333E-2</v>
      </c>
      <c r="I111" s="45">
        <f t="shared" ref="I111" si="55">+H111*F111</f>
        <v>6.666666666666667</v>
      </c>
      <c r="J111" s="9">
        <f t="shared" ref="J111" si="56">+I111/$C$3</f>
        <v>0.66666666666666674</v>
      </c>
      <c r="K111" s="9">
        <f t="shared" si="48"/>
        <v>2.2222222222222223E-2</v>
      </c>
      <c r="L111" s="29">
        <f>+Tabelle2[[#This Row],[€/Kg Honig]]/2</f>
        <v>1.1111111111111112E-2</v>
      </c>
    </row>
    <row r="112" spans="1:12" ht="15.75" x14ac:dyDescent="0.25">
      <c r="A112" s="118"/>
      <c r="B112" s="8" t="s">
        <v>18</v>
      </c>
      <c r="C112" s="6" t="s">
        <v>116</v>
      </c>
      <c r="D112" s="45">
        <v>50</v>
      </c>
      <c r="E112" s="6">
        <v>1</v>
      </c>
      <c r="F112" s="45">
        <f t="shared" si="46"/>
        <v>50</v>
      </c>
      <c r="G112" s="32">
        <v>1</v>
      </c>
      <c r="H112" s="10">
        <f>1/Tabelle2[[#This Row],[Nutzungs-jahre]]</f>
        <v>1</v>
      </c>
      <c r="I112" s="45">
        <f t="shared" si="10"/>
        <v>50</v>
      </c>
      <c r="J112" s="9">
        <f>+I112/$C$3</f>
        <v>5</v>
      </c>
      <c r="K112" s="9">
        <f t="shared" si="48"/>
        <v>0.16666666666666666</v>
      </c>
      <c r="L112" s="29">
        <f>+Tabelle2[[#This Row],[€/Kg Honig]]/2</f>
        <v>8.3333333333333329E-2</v>
      </c>
    </row>
    <row r="113" spans="1:12" ht="15.75" x14ac:dyDescent="0.25">
      <c r="A113" s="118"/>
      <c r="B113" s="8" t="s">
        <v>52</v>
      </c>
      <c r="C113" s="6" t="s">
        <v>47</v>
      </c>
      <c r="D113" s="45">
        <v>40</v>
      </c>
      <c r="E113" s="6">
        <v>1</v>
      </c>
      <c r="F113" s="45">
        <f t="shared" si="46"/>
        <v>40</v>
      </c>
      <c r="G113" s="32">
        <v>3</v>
      </c>
      <c r="H113" s="10">
        <f>1/Tabelle2[[#This Row],[Nutzungs-jahre]]</f>
        <v>0.33333333333333331</v>
      </c>
      <c r="I113" s="45">
        <f t="shared" ref="I113" si="57">+H113*F113</f>
        <v>13.333333333333332</v>
      </c>
      <c r="J113" s="9">
        <f>+I113/$C$3</f>
        <v>1.3333333333333333</v>
      </c>
      <c r="K113" s="9">
        <f t="shared" si="48"/>
        <v>4.4444444444444439E-2</v>
      </c>
      <c r="L113" s="29">
        <f>+Tabelle2[[#This Row],[€/Kg Honig]]/2</f>
        <v>2.222222222222222E-2</v>
      </c>
    </row>
    <row r="114" spans="1:12" ht="15.75" x14ac:dyDescent="0.25">
      <c r="A114" s="7"/>
      <c r="B114" s="8"/>
      <c r="C114" s="6"/>
      <c r="D114" s="45"/>
      <c r="E114" s="6"/>
      <c r="F114" s="45"/>
      <c r="G114" s="32"/>
      <c r="H114" s="10"/>
      <c r="I114" s="45"/>
      <c r="J114" s="9"/>
      <c r="K114" s="9"/>
      <c r="L114" s="29">
        <f>+Tabelle2[[#This Row],[€/Kg Honig]]/2</f>
        <v>0</v>
      </c>
    </row>
    <row r="115" spans="1:12" ht="15.75" x14ac:dyDescent="0.25">
      <c r="A115" s="7"/>
      <c r="B115" s="11" t="s">
        <v>91</v>
      </c>
      <c r="C115" s="6"/>
      <c r="D115" s="45"/>
      <c r="E115" s="23" t="s">
        <v>73</v>
      </c>
      <c r="F115" s="45">
        <f>SUBTOTAL(109,F116:F119)</f>
        <v>297.88600789915972</v>
      </c>
      <c r="G115" s="32"/>
      <c r="H115" s="10"/>
      <c r="I115" s="45">
        <f t="shared" ref="I115:L115" si="58">SUBTOTAL(109,I116:I119)</f>
        <v>251.21934123249304</v>
      </c>
      <c r="J115" s="9">
        <f t="shared" si="58"/>
        <v>25.1219341232493</v>
      </c>
      <c r="K115" s="9">
        <f t="shared" si="58"/>
        <v>0.83739780410831</v>
      </c>
      <c r="L115" s="9">
        <f t="shared" si="58"/>
        <v>0.418698902054155</v>
      </c>
    </row>
    <row r="116" spans="1:12" ht="15.75" x14ac:dyDescent="0.25">
      <c r="A116" s="7"/>
      <c r="B116" s="8" t="s">
        <v>88</v>
      </c>
      <c r="C116" s="6" t="s">
        <v>116</v>
      </c>
      <c r="D116" s="40">
        <f>C19/100</f>
        <v>0.01</v>
      </c>
      <c r="E116" s="41">
        <f>SUBTOTAL(109,F50:F113)</f>
        <v>11788.600789915969</v>
      </c>
      <c r="F116" s="45">
        <f>+E116*D116</f>
        <v>117.88600789915969</v>
      </c>
      <c r="G116" s="32">
        <v>1</v>
      </c>
      <c r="H116" s="10">
        <f>1/Tabelle2[[#This Row],[Nutzungs-jahre]]</f>
        <v>1</v>
      </c>
      <c r="I116" s="45">
        <f t="shared" ref="I116" si="59">+H116*F116</f>
        <v>117.88600789915969</v>
      </c>
      <c r="J116" s="9">
        <f>+I116/$C$3</f>
        <v>11.78860078991597</v>
      </c>
      <c r="K116" s="9">
        <f>+I116/$C$9</f>
        <v>0.39295335966386563</v>
      </c>
      <c r="L116" s="29">
        <f>+Tabelle2[[#This Row],[€/Kg Honig]]/2</f>
        <v>0.19647667983193282</v>
      </c>
    </row>
    <row r="117" spans="1:12" ht="15.75" x14ac:dyDescent="0.25">
      <c r="A117" s="7"/>
      <c r="B117" s="8" t="s">
        <v>92</v>
      </c>
      <c r="C117" s="6" t="s">
        <v>93</v>
      </c>
      <c r="D117" s="9">
        <f>+C18</f>
        <v>4</v>
      </c>
      <c r="E117" s="6">
        <f>+C3*$C$20</f>
        <v>25</v>
      </c>
      <c r="F117" s="45">
        <f>+E117*D117</f>
        <v>100</v>
      </c>
      <c r="G117" s="32">
        <v>1</v>
      </c>
      <c r="H117" s="10">
        <f>1/Tabelle2[[#This Row],[Nutzungs-jahre]]</f>
        <v>1</v>
      </c>
      <c r="I117" s="45">
        <f t="shared" ref="I117" si="60">+H117*F117</f>
        <v>100</v>
      </c>
      <c r="J117" s="9">
        <f>+I117/$C$3</f>
        <v>10</v>
      </c>
      <c r="K117" s="9">
        <f>+I117/$C$9</f>
        <v>0.33333333333333331</v>
      </c>
      <c r="L117" s="29">
        <f>+Tabelle2[[#This Row],[€/Kg Honig]]/2</f>
        <v>0.16666666666666666</v>
      </c>
    </row>
    <row r="118" spans="1:12" ht="15.75" x14ac:dyDescent="0.25">
      <c r="A118" s="7"/>
      <c r="B118" s="8" t="s">
        <v>95</v>
      </c>
      <c r="C118" s="6" t="s">
        <v>93</v>
      </c>
      <c r="D118" s="9">
        <f>+C18</f>
        <v>4</v>
      </c>
      <c r="E118" s="6">
        <f>+C3*$C$21</f>
        <v>10</v>
      </c>
      <c r="F118" s="45">
        <f>+E118*D118</f>
        <v>40</v>
      </c>
      <c r="G118" s="32">
        <v>2</v>
      </c>
      <c r="H118" s="10">
        <f>1/Tabelle2[[#This Row],[Nutzungs-jahre]]</f>
        <v>0.5</v>
      </c>
      <c r="I118" s="45">
        <f t="shared" ref="I118:I119" si="61">+H118*F118</f>
        <v>20</v>
      </c>
      <c r="J118" s="9">
        <f t="shared" ref="J118:J119" si="62">+I118/$C$3</f>
        <v>2</v>
      </c>
      <c r="K118" s="9">
        <f t="shared" ref="K118:K119" si="63">+I118/$C$9</f>
        <v>6.6666666666666666E-2</v>
      </c>
      <c r="L118" s="29">
        <f>+Tabelle2[[#This Row],[€/Kg Honig]]/2</f>
        <v>3.3333333333333333E-2</v>
      </c>
    </row>
    <row r="119" spans="1:12" ht="15.75" x14ac:dyDescent="0.25">
      <c r="A119" s="7"/>
      <c r="B119" s="8" t="s">
        <v>96</v>
      </c>
      <c r="C119" s="6" t="s">
        <v>34</v>
      </c>
      <c r="D119" s="9">
        <v>4</v>
      </c>
      <c r="E119" s="6">
        <f>+C3</f>
        <v>10</v>
      </c>
      <c r="F119" s="45">
        <f>+E119*D119</f>
        <v>40</v>
      </c>
      <c r="G119" s="32">
        <v>3</v>
      </c>
      <c r="H119" s="10">
        <f>1/Tabelle2[[#This Row],[Nutzungs-jahre]]</f>
        <v>0.33333333333333331</v>
      </c>
      <c r="I119" s="45">
        <f t="shared" si="61"/>
        <v>13.333333333333332</v>
      </c>
      <c r="J119" s="9">
        <f t="shared" si="62"/>
        <v>1.3333333333333333</v>
      </c>
      <c r="K119" s="9">
        <f t="shared" si="63"/>
        <v>4.4444444444444439E-2</v>
      </c>
      <c r="L119" s="29">
        <f>+Tabelle2[[#This Row],[€/Kg Honig]]/2</f>
        <v>2.222222222222222E-2</v>
      </c>
    </row>
    <row r="120" spans="1:12" ht="15.75" x14ac:dyDescent="0.25">
      <c r="A120" s="7"/>
      <c r="B120" s="8"/>
      <c r="C120" s="6"/>
      <c r="D120" s="45"/>
      <c r="E120" s="6"/>
      <c r="F120" s="45"/>
      <c r="G120" s="32"/>
      <c r="H120" s="10"/>
      <c r="I120" s="45"/>
      <c r="J120" s="9"/>
      <c r="K120" s="9"/>
      <c r="L120" s="29"/>
    </row>
    <row r="121" spans="1:12" ht="15.75" x14ac:dyDescent="0.25">
      <c r="A121" s="7"/>
      <c r="B121" s="8"/>
      <c r="C121" s="6"/>
      <c r="D121" s="45"/>
      <c r="E121" s="23" t="s">
        <v>74</v>
      </c>
      <c r="F121" s="45">
        <f>SUBTOTAL(109,F50:F120)</f>
        <v>12086.486797815129</v>
      </c>
      <c r="G121" s="32"/>
      <c r="H121" s="9"/>
      <c r="I121" s="45">
        <f>SUBTOTAL(109,I50:I120)</f>
        <v>1184.5463216246499</v>
      </c>
      <c r="J121" s="45">
        <f>SUBTOTAL(109,J50:J120)</f>
        <v>118.45463216246499</v>
      </c>
      <c r="K121" s="9">
        <f>SUBTOTAL(109,K50:K120)</f>
        <v>3.948487738748832</v>
      </c>
      <c r="L121" s="29">
        <f>+Tabelle2[[#This Row],[€/Kg Honig]]/2</f>
        <v>1.974243869374416</v>
      </c>
    </row>
    <row r="122" spans="1:12" ht="15.75" x14ac:dyDescent="0.25">
      <c r="A122" s="17"/>
      <c r="B122" s="18"/>
      <c r="C122" s="19"/>
      <c r="D122" s="46"/>
      <c r="E122" s="19"/>
      <c r="F122" s="46"/>
      <c r="G122" s="33"/>
      <c r="H122" s="21"/>
      <c r="I122" s="46"/>
      <c r="J122" s="20"/>
      <c r="K122" s="20"/>
      <c r="L122" s="30"/>
    </row>
    <row r="123" spans="1:12" ht="15.75" customHeight="1" x14ac:dyDescent="0.25">
      <c r="A123" s="119" t="s">
        <v>60</v>
      </c>
      <c r="B123" s="11" t="s">
        <v>79</v>
      </c>
      <c r="C123" s="6"/>
      <c r="D123" s="45"/>
      <c r="E123" s="22" t="s">
        <v>73</v>
      </c>
      <c r="F123" s="45">
        <f>SUBTOTAL(109,F124:F129)</f>
        <v>1525.6000000000001</v>
      </c>
      <c r="G123" s="32"/>
      <c r="H123" s="9"/>
      <c r="I123" s="45">
        <f>SUBTOTAL(109,I124:I129)</f>
        <v>549.40000000000009</v>
      </c>
      <c r="J123" s="9">
        <f>SUBTOTAL(109,J124:J129)</f>
        <v>54.940000000000005</v>
      </c>
      <c r="K123" s="9">
        <f>SUBTOTAL(109,K124:K129)</f>
        <v>1.8313333333333335</v>
      </c>
      <c r="L123" s="29">
        <f>+Tabelle2[[#This Row],[€/Kg Honig]]/2</f>
        <v>0.91566666666666674</v>
      </c>
    </row>
    <row r="124" spans="1:12" ht="15.75" customHeight="1" x14ac:dyDescent="0.25">
      <c r="A124" s="119"/>
      <c r="B124" s="8" t="s">
        <v>16</v>
      </c>
      <c r="C124" s="6" t="s">
        <v>34</v>
      </c>
      <c r="D124" s="9">
        <v>1.4</v>
      </c>
      <c r="E124" s="6">
        <f>SUM(C3:C4)*9</f>
        <v>135</v>
      </c>
      <c r="F124" s="45">
        <f t="shared" ref="F124:F129" si="64">+E124*D124</f>
        <v>189</v>
      </c>
      <c r="G124" s="32">
        <v>5</v>
      </c>
      <c r="H124" s="10">
        <f>1/Tabelle2[[#This Row],[Nutzungs-jahre]]</f>
        <v>0.2</v>
      </c>
      <c r="I124" s="45">
        <f t="shared" si="10"/>
        <v>37.800000000000004</v>
      </c>
      <c r="J124" s="9">
        <f t="shared" ref="J124:J129" si="65">+I124/$C$3</f>
        <v>3.7800000000000002</v>
      </c>
      <c r="K124" s="9">
        <f t="shared" ref="K124:K129" si="66">+I124/$C$9</f>
        <v>0.126</v>
      </c>
      <c r="L124" s="29">
        <f>+Tabelle2[[#This Row],[€/Kg Honig]]/2</f>
        <v>6.3E-2</v>
      </c>
    </row>
    <row r="125" spans="1:12" ht="15.75" x14ac:dyDescent="0.25">
      <c r="A125" s="119"/>
      <c r="B125" s="8" t="s">
        <v>15</v>
      </c>
      <c r="C125" s="6" t="s">
        <v>34</v>
      </c>
      <c r="D125" s="9">
        <v>1</v>
      </c>
      <c r="E125" s="6">
        <f>SUM(C3:C4)*30</f>
        <v>450</v>
      </c>
      <c r="F125" s="45">
        <f t="shared" si="64"/>
        <v>450</v>
      </c>
      <c r="G125" s="32">
        <v>10</v>
      </c>
      <c r="H125" s="10">
        <f>1/Tabelle2[[#This Row],[Nutzungs-jahre]]</f>
        <v>0.1</v>
      </c>
      <c r="I125" s="45">
        <f t="shared" si="10"/>
        <v>45</v>
      </c>
      <c r="J125" s="9">
        <f t="shared" si="65"/>
        <v>4.5</v>
      </c>
      <c r="K125" s="9">
        <f t="shared" si="66"/>
        <v>0.15</v>
      </c>
      <c r="L125" s="29">
        <f>+Tabelle2[[#This Row],[€/Kg Honig]]/2</f>
        <v>7.4999999999999997E-2</v>
      </c>
    </row>
    <row r="126" spans="1:12" ht="15.75" x14ac:dyDescent="0.25">
      <c r="A126" s="119"/>
      <c r="B126" s="8" t="s">
        <v>14</v>
      </c>
      <c r="C126" s="6" t="s">
        <v>45</v>
      </c>
      <c r="D126" s="45">
        <v>15</v>
      </c>
      <c r="E126" s="6">
        <f>SUM(C3:C4)*2</f>
        <v>30</v>
      </c>
      <c r="F126" s="45">
        <f t="shared" si="64"/>
        <v>450</v>
      </c>
      <c r="G126" s="32">
        <v>15</v>
      </c>
      <c r="H126" s="10">
        <f>1/Tabelle2[[#This Row],[Nutzungs-jahre]]</f>
        <v>6.6666666666666666E-2</v>
      </c>
      <c r="I126" s="45">
        <f t="shared" si="10"/>
        <v>30</v>
      </c>
      <c r="J126" s="9">
        <f t="shared" si="65"/>
        <v>3</v>
      </c>
      <c r="K126" s="9">
        <f t="shared" si="66"/>
        <v>0.1</v>
      </c>
      <c r="L126" s="29">
        <f>+Tabelle2[[#This Row],[€/Kg Honig]]/2</f>
        <v>0.05</v>
      </c>
    </row>
    <row r="127" spans="1:12" ht="15.75" x14ac:dyDescent="0.25">
      <c r="A127" s="119"/>
      <c r="B127" s="8" t="s">
        <v>65</v>
      </c>
      <c r="C127" s="6" t="s">
        <v>45</v>
      </c>
      <c r="D127" s="48">
        <v>1.36</v>
      </c>
      <c r="E127" s="6">
        <f>C3*22</f>
        <v>220</v>
      </c>
      <c r="F127" s="45">
        <f t="shared" si="64"/>
        <v>299.20000000000005</v>
      </c>
      <c r="G127" s="32">
        <v>1</v>
      </c>
      <c r="H127" s="10">
        <f>1/Tabelle2[[#This Row],[Nutzungs-jahre]]</f>
        <v>1</v>
      </c>
      <c r="I127" s="45">
        <f t="shared" si="10"/>
        <v>299.20000000000005</v>
      </c>
      <c r="J127" s="9">
        <f t="shared" si="65"/>
        <v>29.920000000000005</v>
      </c>
      <c r="K127" s="9">
        <f t="shared" si="66"/>
        <v>0.99733333333333352</v>
      </c>
      <c r="L127" s="29">
        <f>+Tabelle2[[#This Row],[€/Kg Honig]]/2</f>
        <v>0.49866666666666676</v>
      </c>
    </row>
    <row r="128" spans="1:12" ht="15.75" x14ac:dyDescent="0.25">
      <c r="A128" s="119"/>
      <c r="B128" s="8" t="s">
        <v>66</v>
      </c>
      <c r="C128" s="6" t="s">
        <v>45</v>
      </c>
      <c r="D128" s="48">
        <f>+D127</f>
        <v>1.36</v>
      </c>
      <c r="E128" s="6">
        <f>C4*18</f>
        <v>90</v>
      </c>
      <c r="F128" s="45">
        <f t="shared" si="64"/>
        <v>122.4</v>
      </c>
      <c r="G128" s="32">
        <v>1</v>
      </c>
      <c r="H128" s="10">
        <f>1/Tabelle2[[#This Row],[Nutzungs-jahre]]</f>
        <v>1</v>
      </c>
      <c r="I128" s="45">
        <f t="shared" ref="I128" si="67">+H128*F128</f>
        <v>122.4</v>
      </c>
      <c r="J128" s="9">
        <f t="shared" si="65"/>
        <v>12.24</v>
      </c>
      <c r="K128" s="9">
        <f t="shared" si="66"/>
        <v>0.40800000000000003</v>
      </c>
      <c r="L128" s="29">
        <f>+Tabelle2[[#This Row],[€/Kg Honig]]/2</f>
        <v>0.20400000000000001</v>
      </c>
    </row>
    <row r="129" spans="1:12" ht="15.75" x14ac:dyDescent="0.25">
      <c r="A129" s="119"/>
      <c r="B129" s="8" t="s">
        <v>12</v>
      </c>
      <c r="C129" s="6" t="s">
        <v>45</v>
      </c>
      <c r="D129" s="48">
        <v>1.5</v>
      </c>
      <c r="E129" s="6">
        <f>1*C3</f>
        <v>10</v>
      </c>
      <c r="F129" s="45">
        <f t="shared" si="64"/>
        <v>15</v>
      </c>
      <c r="G129" s="32">
        <v>1</v>
      </c>
      <c r="H129" s="10">
        <f>1/Tabelle2[[#This Row],[Nutzungs-jahre]]</f>
        <v>1</v>
      </c>
      <c r="I129" s="45">
        <f t="shared" si="10"/>
        <v>15</v>
      </c>
      <c r="J129" s="9">
        <f t="shared" si="65"/>
        <v>1.5</v>
      </c>
      <c r="K129" s="9">
        <f t="shared" si="66"/>
        <v>0.05</v>
      </c>
      <c r="L129" s="29">
        <f>+Tabelle2[[#This Row],[€/Kg Honig]]/2</f>
        <v>2.5000000000000001E-2</v>
      </c>
    </row>
    <row r="130" spans="1:12" ht="15.75" x14ac:dyDescent="0.25">
      <c r="A130" s="119"/>
      <c r="B130" s="8"/>
      <c r="C130" s="6"/>
      <c r="D130" s="45"/>
      <c r="E130" s="6"/>
      <c r="F130" s="45"/>
      <c r="G130" s="32"/>
      <c r="H130" s="10"/>
      <c r="I130" s="45"/>
      <c r="J130" s="9"/>
      <c r="K130" s="9"/>
      <c r="L130" s="29"/>
    </row>
    <row r="131" spans="1:12" ht="15.75" x14ac:dyDescent="0.25">
      <c r="A131" s="119"/>
      <c r="B131" s="11" t="s">
        <v>142</v>
      </c>
      <c r="C131" s="6"/>
      <c r="D131" s="45"/>
      <c r="E131" s="22" t="s">
        <v>73</v>
      </c>
      <c r="F131" s="45">
        <f>SUBTOTAL(109,F132:F135)</f>
        <v>137.80000000000001</v>
      </c>
      <c r="G131" s="32"/>
      <c r="H131" s="9"/>
      <c r="I131" s="45">
        <f>SUBTOTAL(109,I132:I135)</f>
        <v>137.80000000000001</v>
      </c>
      <c r="J131" s="9">
        <f>SUBTOTAL(109,J132:J135)</f>
        <v>13.780000000000001</v>
      </c>
      <c r="K131" s="9">
        <f>SUBTOTAL(109,K132:K135)</f>
        <v>0.45933333333333337</v>
      </c>
      <c r="L131" s="29">
        <f>+Tabelle2[[#This Row],[€/Kg Honig]]/2</f>
        <v>0.22966666666666669</v>
      </c>
    </row>
    <row r="132" spans="1:12" ht="15.75" x14ac:dyDescent="0.25">
      <c r="A132" s="119"/>
      <c r="B132" s="8" t="s">
        <v>69</v>
      </c>
      <c r="C132" s="6" t="s">
        <v>34</v>
      </c>
      <c r="D132" s="45">
        <v>7</v>
      </c>
      <c r="E132" s="6">
        <f>+ROUNDUP(SUM(C3:C4)/2,0)</f>
        <v>8</v>
      </c>
      <c r="F132" s="45">
        <f>+E132*D132</f>
        <v>56</v>
      </c>
      <c r="G132" s="32">
        <v>1</v>
      </c>
      <c r="H132" s="10">
        <f>1/Tabelle2[[#This Row],[Nutzungs-jahre]]</f>
        <v>1</v>
      </c>
      <c r="I132" s="45">
        <f t="shared" ref="I132:I135" si="68">+H132*F132</f>
        <v>56</v>
      </c>
      <c r="J132" s="9">
        <f t="shared" ref="J132:J135" si="69">+I132/$C$3</f>
        <v>5.6</v>
      </c>
      <c r="K132" s="9">
        <f>+I132/$C$9</f>
        <v>0.18666666666666668</v>
      </c>
      <c r="L132" s="29">
        <f>+Tabelle2[[#This Row],[€/Kg Honig]]/2</f>
        <v>9.3333333333333338E-2</v>
      </c>
    </row>
    <row r="133" spans="1:12" ht="15.75" x14ac:dyDescent="0.25">
      <c r="A133" s="119"/>
      <c r="B133" s="8" t="s">
        <v>70</v>
      </c>
      <c r="C133" s="6" t="s">
        <v>34</v>
      </c>
      <c r="D133" s="45">
        <v>35</v>
      </c>
      <c r="E133" s="6">
        <f>+ROUNDUP(SUM(C2:C3)*0.1,0)</f>
        <v>1</v>
      </c>
      <c r="F133" s="45">
        <f>+E133*D133</f>
        <v>35</v>
      </c>
      <c r="G133" s="32">
        <v>1</v>
      </c>
      <c r="H133" s="10">
        <f>1/Tabelle2[[#This Row],[Nutzungs-jahre]]</f>
        <v>1</v>
      </c>
      <c r="I133" s="45">
        <f t="shared" ref="I133" si="70">+H133*F133</f>
        <v>35</v>
      </c>
      <c r="J133" s="9">
        <f t="shared" ref="J133" si="71">+I133/$C$3</f>
        <v>3.5</v>
      </c>
      <c r="K133" s="9">
        <f>+I133/$C$9</f>
        <v>0.11666666666666667</v>
      </c>
      <c r="L133" s="29">
        <f>+Tabelle2[[#This Row],[€/Kg Honig]]/2</f>
        <v>5.8333333333333334E-2</v>
      </c>
    </row>
    <row r="134" spans="1:12" ht="15.75" x14ac:dyDescent="0.25">
      <c r="A134" s="119"/>
      <c r="B134" s="8" t="s">
        <v>12</v>
      </c>
      <c r="C134" s="6" t="s">
        <v>45</v>
      </c>
      <c r="D134" s="45">
        <v>4</v>
      </c>
      <c r="E134" s="6">
        <f>+E73*0.6</f>
        <v>1.2</v>
      </c>
      <c r="F134" s="45">
        <f>+E134*D134</f>
        <v>4.8</v>
      </c>
      <c r="G134" s="32">
        <v>1</v>
      </c>
      <c r="H134" s="10">
        <f>1/Tabelle2[[#This Row],[Nutzungs-jahre]]</f>
        <v>1</v>
      </c>
      <c r="I134" s="45">
        <f>+H134*F134</f>
        <v>4.8</v>
      </c>
      <c r="J134" s="9">
        <f>+I134/$C$3</f>
        <v>0.48</v>
      </c>
      <c r="K134" s="9">
        <f>+I134/$C$9</f>
        <v>1.6E-2</v>
      </c>
      <c r="L134" s="29">
        <f>+Tabelle2[[#This Row],[€/Kg Honig]]/2</f>
        <v>8.0000000000000002E-3</v>
      </c>
    </row>
    <row r="135" spans="1:12" ht="15.75" x14ac:dyDescent="0.25">
      <c r="A135" s="119"/>
      <c r="B135" s="8" t="s">
        <v>141</v>
      </c>
      <c r="C135" s="6" t="s">
        <v>34</v>
      </c>
      <c r="D135" s="45">
        <v>6</v>
      </c>
      <c r="E135" s="6">
        <f>+E75</f>
        <v>7</v>
      </c>
      <c r="F135" s="45">
        <f>+E135*D135</f>
        <v>42</v>
      </c>
      <c r="G135" s="32">
        <v>1</v>
      </c>
      <c r="H135" s="10">
        <f>1/Tabelle2[[#This Row],[Nutzungs-jahre]]</f>
        <v>1</v>
      </c>
      <c r="I135" s="45">
        <f t="shared" si="68"/>
        <v>42</v>
      </c>
      <c r="J135" s="9">
        <f t="shared" si="69"/>
        <v>4.2</v>
      </c>
      <c r="K135" s="9">
        <f>+I135/$C$9</f>
        <v>0.14000000000000001</v>
      </c>
      <c r="L135" s="29">
        <f>+Tabelle2[[#This Row],[€/Kg Honig]]/2</f>
        <v>7.0000000000000007E-2</v>
      </c>
    </row>
    <row r="136" spans="1:12" ht="15.75" x14ac:dyDescent="0.25">
      <c r="A136" s="119"/>
      <c r="B136" s="8"/>
      <c r="C136" s="6"/>
      <c r="D136" s="45"/>
      <c r="E136" s="6"/>
      <c r="F136" s="45"/>
      <c r="G136" s="32"/>
      <c r="H136" s="10"/>
      <c r="I136" s="45"/>
      <c r="J136" s="9"/>
      <c r="K136" s="9"/>
      <c r="L136" s="29"/>
    </row>
    <row r="137" spans="1:12" ht="15.75" x14ac:dyDescent="0.25">
      <c r="A137" s="119"/>
      <c r="B137" s="11" t="s">
        <v>10</v>
      </c>
      <c r="C137" s="6"/>
      <c r="D137" s="45"/>
      <c r="E137" s="22" t="s">
        <v>73</v>
      </c>
      <c r="F137" s="45">
        <f>SUBTOTAL(109,F138:F140)</f>
        <v>27.75</v>
      </c>
      <c r="G137" s="32"/>
      <c r="H137" s="9"/>
      <c r="I137" s="45">
        <f>SUBTOTAL(109,I138:I140)</f>
        <v>27.75</v>
      </c>
      <c r="J137" s="9">
        <f>SUBTOTAL(109,J138:J140)</f>
        <v>2.7749999999999999</v>
      </c>
      <c r="K137" s="9">
        <f>SUBTOTAL(109,K138:K140)</f>
        <v>9.2499999999999999E-2</v>
      </c>
      <c r="L137" s="29">
        <f>+Tabelle2[[#This Row],[€/Kg Honig]]/2</f>
        <v>4.6249999999999999E-2</v>
      </c>
    </row>
    <row r="138" spans="1:12" ht="15.75" x14ac:dyDescent="0.25">
      <c r="A138" s="119"/>
      <c r="B138" s="8" t="s">
        <v>9</v>
      </c>
      <c r="C138" s="6" t="s">
        <v>54</v>
      </c>
      <c r="D138" s="48">
        <v>3</v>
      </c>
      <c r="E138" s="6">
        <f>SUM(C3:C4)*0.45</f>
        <v>6.75</v>
      </c>
      <c r="F138" s="45">
        <f>+E138*D138</f>
        <v>20.25</v>
      </c>
      <c r="G138" s="32">
        <v>1</v>
      </c>
      <c r="H138" s="10">
        <f>1/Tabelle2[[#This Row],[Nutzungs-jahre]]</f>
        <v>1</v>
      </c>
      <c r="I138" s="45">
        <f t="shared" si="10"/>
        <v>20.25</v>
      </c>
      <c r="J138" s="9">
        <f>+I138/$C$3</f>
        <v>2.0249999999999999</v>
      </c>
      <c r="K138" s="9">
        <f>+I138/$C$9</f>
        <v>6.7500000000000004E-2</v>
      </c>
      <c r="L138" s="29">
        <f>+Tabelle2[[#This Row],[€/Kg Honig]]/2</f>
        <v>3.3750000000000002E-2</v>
      </c>
    </row>
    <row r="139" spans="1:12" ht="15.75" x14ac:dyDescent="0.25">
      <c r="A139" s="119"/>
      <c r="B139" s="8" t="s">
        <v>8</v>
      </c>
      <c r="C139" s="6" t="s">
        <v>54</v>
      </c>
      <c r="D139" s="45">
        <v>10</v>
      </c>
      <c r="E139" s="6">
        <f>SUM(C3:C4)*0.05</f>
        <v>0.75</v>
      </c>
      <c r="F139" s="45">
        <f>+E139*D139</f>
        <v>7.5</v>
      </c>
      <c r="G139" s="32">
        <v>1</v>
      </c>
      <c r="H139" s="10">
        <f>1/Tabelle2[[#This Row],[Nutzungs-jahre]]</f>
        <v>1</v>
      </c>
      <c r="I139" s="45">
        <f t="shared" si="10"/>
        <v>7.5</v>
      </c>
      <c r="J139" s="9">
        <f>+I139/$C$3</f>
        <v>0.75</v>
      </c>
      <c r="K139" s="9">
        <f>+I139/$C$9</f>
        <v>2.5000000000000001E-2</v>
      </c>
      <c r="L139" s="29">
        <f>+Tabelle2[[#This Row],[€/Kg Honig]]/2</f>
        <v>1.2500000000000001E-2</v>
      </c>
    </row>
    <row r="140" spans="1:12" ht="15.75" x14ac:dyDescent="0.25">
      <c r="A140" s="119"/>
      <c r="B140" s="8" t="s">
        <v>7</v>
      </c>
      <c r="C140" s="6" t="s">
        <v>34</v>
      </c>
      <c r="D140" s="48">
        <v>0.9</v>
      </c>
      <c r="E140" s="6">
        <f>SUM(C3:C4)*2*0</f>
        <v>0</v>
      </c>
      <c r="F140" s="45">
        <f>+E140*D140</f>
        <v>0</v>
      </c>
      <c r="G140" s="32">
        <v>1</v>
      </c>
      <c r="H140" s="10">
        <f>1/Tabelle2[[#This Row],[Nutzungs-jahre]]</f>
        <v>1</v>
      </c>
      <c r="I140" s="45">
        <f t="shared" si="10"/>
        <v>0</v>
      </c>
      <c r="J140" s="9">
        <f>+I140/$C$3</f>
        <v>0</v>
      </c>
      <c r="K140" s="9">
        <f>+I140/$C$9</f>
        <v>0</v>
      </c>
      <c r="L140" s="29">
        <f>+Tabelle2[[#This Row],[€/Kg Honig]]/2</f>
        <v>0</v>
      </c>
    </row>
    <row r="141" spans="1:12" ht="15.75" x14ac:dyDescent="0.25">
      <c r="A141" s="119"/>
      <c r="B141" s="8"/>
      <c r="C141" s="6"/>
      <c r="D141" s="45"/>
      <c r="E141" s="6"/>
      <c r="F141" s="45"/>
      <c r="G141" s="32"/>
      <c r="H141" s="10"/>
      <c r="I141" s="45"/>
      <c r="J141" s="9"/>
      <c r="K141" s="9"/>
      <c r="L141" s="29"/>
    </row>
    <row r="142" spans="1:12" ht="15.75" x14ac:dyDescent="0.25">
      <c r="A142" s="119"/>
      <c r="B142" s="11" t="s">
        <v>68</v>
      </c>
      <c r="C142" s="6"/>
      <c r="D142" s="45"/>
      <c r="E142" s="22" t="s">
        <v>73</v>
      </c>
      <c r="F142" s="45">
        <f>SUBTOTAL(109,F143:F146)</f>
        <v>383.1</v>
      </c>
      <c r="G142" s="32"/>
      <c r="H142" s="9"/>
      <c r="I142" s="45">
        <f>SUBTOTAL(109,I143:I146)</f>
        <v>191.1</v>
      </c>
      <c r="J142" s="9">
        <f>SUBTOTAL(109,J143:J146)</f>
        <v>19.11</v>
      </c>
      <c r="K142" s="9">
        <f>SUBTOTAL(109,K143:K146)</f>
        <v>0.6369999999999999</v>
      </c>
      <c r="L142" s="29">
        <f>+Tabelle2[[#This Row],[€/Kg Honig]]/2</f>
        <v>0.31849999999999995</v>
      </c>
    </row>
    <row r="143" spans="1:12" ht="15.75" x14ac:dyDescent="0.25">
      <c r="A143" s="119"/>
      <c r="B143" s="8" t="s">
        <v>6</v>
      </c>
      <c r="C143" s="6" t="s">
        <v>34</v>
      </c>
      <c r="D143" s="48">
        <v>0.48</v>
      </c>
      <c r="E143" s="6">
        <f>+C9*2</f>
        <v>600</v>
      </c>
      <c r="F143" s="45">
        <f>+E143*D143</f>
        <v>288</v>
      </c>
      <c r="G143" s="32">
        <v>3</v>
      </c>
      <c r="H143" s="10">
        <f>1/Tabelle2[[#This Row],[Nutzungs-jahre]]</f>
        <v>0.33333333333333331</v>
      </c>
      <c r="I143" s="45">
        <f t="shared" si="10"/>
        <v>96</v>
      </c>
      <c r="J143" s="9">
        <f>+I143/$C$3</f>
        <v>9.6</v>
      </c>
      <c r="K143" s="9">
        <f>+I143/$C$9</f>
        <v>0.32</v>
      </c>
      <c r="L143" s="29">
        <f>+Tabelle2[[#This Row],[€/Kg Honig]]/2</f>
        <v>0.16</v>
      </c>
    </row>
    <row r="144" spans="1:12" ht="15.75" x14ac:dyDescent="0.25">
      <c r="A144" s="119"/>
      <c r="B144" s="8" t="s">
        <v>5</v>
      </c>
      <c r="C144" s="6" t="s">
        <v>34</v>
      </c>
      <c r="D144" s="48">
        <f>108.5/1000</f>
        <v>0.1085</v>
      </c>
      <c r="E144" s="6">
        <f>+E143</f>
        <v>600</v>
      </c>
      <c r="F144" s="45">
        <f>+E144*D144</f>
        <v>65.099999999999994</v>
      </c>
      <c r="G144" s="32">
        <v>1</v>
      </c>
      <c r="H144" s="10">
        <f>1/Tabelle2[[#This Row],[Nutzungs-jahre]]</f>
        <v>1</v>
      </c>
      <c r="I144" s="45">
        <f t="shared" si="10"/>
        <v>65.099999999999994</v>
      </c>
      <c r="J144" s="9">
        <f>+I144/$C$3</f>
        <v>6.51</v>
      </c>
      <c r="K144" s="9">
        <f>+I144/$C$9</f>
        <v>0.21699999999999997</v>
      </c>
      <c r="L144" s="29">
        <f>+Tabelle2[[#This Row],[€/Kg Honig]]/2</f>
        <v>0.10849999999999999</v>
      </c>
    </row>
    <row r="145" spans="1:12" ht="15.75" x14ac:dyDescent="0.25">
      <c r="A145" s="119"/>
      <c r="B145" s="8" t="s">
        <v>113</v>
      </c>
      <c r="C145" s="6" t="s">
        <v>110</v>
      </c>
      <c r="D145" s="48">
        <v>1</v>
      </c>
      <c r="E145" s="6">
        <f>+Tabelle2[[#This Row],[€/Einheit]]*E51</f>
        <v>10</v>
      </c>
      <c r="F145" s="45">
        <f>+E145*D145</f>
        <v>10</v>
      </c>
      <c r="G145" s="32">
        <v>1</v>
      </c>
      <c r="H145" s="10">
        <f>1/Tabelle2[[#This Row],[Nutzungs-jahre]]</f>
        <v>1</v>
      </c>
      <c r="I145" s="45">
        <f t="shared" ref="I145" si="72">+H145*F145</f>
        <v>10</v>
      </c>
      <c r="J145" s="9">
        <f>+I145/$C$3</f>
        <v>1</v>
      </c>
      <c r="K145" s="9">
        <f>+I145/$C$9</f>
        <v>3.3333333333333333E-2</v>
      </c>
      <c r="L145" s="29">
        <f>+Tabelle2[[#This Row],[€/Kg Honig]]/2</f>
        <v>1.6666666666666666E-2</v>
      </c>
    </row>
    <row r="146" spans="1:12" ht="15.75" x14ac:dyDescent="0.25">
      <c r="A146" s="119"/>
      <c r="B146" s="8" t="s">
        <v>4</v>
      </c>
      <c r="C146" s="6" t="s">
        <v>116</v>
      </c>
      <c r="D146" s="45">
        <v>20</v>
      </c>
      <c r="E146" s="6">
        <v>1</v>
      </c>
      <c r="F146" s="45">
        <f>+E146*D146</f>
        <v>20</v>
      </c>
      <c r="G146" s="32">
        <v>1</v>
      </c>
      <c r="H146" s="10">
        <f>1/Tabelle2[[#This Row],[Nutzungs-jahre]]</f>
        <v>1</v>
      </c>
      <c r="I146" s="45">
        <f t="shared" si="10"/>
        <v>20</v>
      </c>
      <c r="J146" s="9">
        <f>+I146/$C$3</f>
        <v>2</v>
      </c>
      <c r="K146" s="9">
        <f>+I146/$C$9</f>
        <v>6.6666666666666666E-2</v>
      </c>
      <c r="L146" s="29">
        <f>+Tabelle2[[#This Row],[€/Kg Honig]]/2</f>
        <v>3.3333333333333333E-2</v>
      </c>
    </row>
    <row r="147" spans="1:12" ht="15.75" x14ac:dyDescent="0.25">
      <c r="A147" s="119"/>
      <c r="B147" s="8"/>
      <c r="C147" s="6"/>
      <c r="D147" s="45"/>
      <c r="E147" s="6"/>
      <c r="F147" s="45"/>
      <c r="G147" s="32"/>
      <c r="H147" s="10"/>
      <c r="I147" s="45"/>
      <c r="J147" s="9"/>
      <c r="K147" s="9"/>
      <c r="L147" s="29"/>
    </row>
    <row r="148" spans="1:12" ht="15.75" x14ac:dyDescent="0.25">
      <c r="A148" s="119"/>
      <c r="B148" s="11" t="s">
        <v>89</v>
      </c>
      <c r="C148" s="6"/>
      <c r="D148" s="45"/>
      <c r="E148" s="22" t="s">
        <v>73</v>
      </c>
      <c r="F148" s="45">
        <f>SUBTOTAL(109,F149:F149)</f>
        <v>76</v>
      </c>
      <c r="G148" s="32"/>
      <c r="H148" s="9"/>
      <c r="I148" s="45"/>
      <c r="J148" s="45">
        <f t="shared" ref="J148" si="73">SUBTOTAL(109,J149:J149)</f>
        <v>7.6</v>
      </c>
      <c r="K148" s="9">
        <f t="shared" ref="K148" si="74">SUBTOTAL(109,K149:K149)</f>
        <v>0.25333333333333335</v>
      </c>
      <c r="L148" s="29">
        <f t="shared" ref="L148" si="75">SUBTOTAL(109,L149:L149)</f>
        <v>0.12666666666666668</v>
      </c>
    </row>
    <row r="149" spans="1:12" ht="15.75" x14ac:dyDescent="0.25">
      <c r="A149" s="119"/>
      <c r="B149" s="8" t="s">
        <v>17</v>
      </c>
      <c r="C149" s="6" t="s">
        <v>87</v>
      </c>
      <c r="D149" s="48">
        <f>+C13</f>
        <v>0.38</v>
      </c>
      <c r="E149" s="6">
        <f>25*(C5-1)*C6*2</f>
        <v>200</v>
      </c>
      <c r="F149" s="45">
        <f>+E149*D149</f>
        <v>76</v>
      </c>
      <c r="G149" s="32">
        <v>1</v>
      </c>
      <c r="H149" s="10">
        <f>1/Tabelle2[[#This Row],[Nutzungs-jahre]]</f>
        <v>1</v>
      </c>
      <c r="I149" s="45">
        <f>+H149*F149</f>
        <v>76</v>
      </c>
      <c r="J149" s="45">
        <f>+I149/$C$3</f>
        <v>7.6</v>
      </c>
      <c r="K149" s="9">
        <f>+I149/$C$9</f>
        <v>0.25333333333333335</v>
      </c>
      <c r="L149" s="29">
        <f>+Tabelle2[[#This Row],[€/Kg Honig]]/2</f>
        <v>0.12666666666666668</v>
      </c>
    </row>
    <row r="150" spans="1:12" ht="15.75" x14ac:dyDescent="0.25">
      <c r="A150" s="119"/>
      <c r="B150" s="8"/>
      <c r="C150" s="6"/>
      <c r="D150" s="45"/>
      <c r="E150" s="6"/>
      <c r="F150" s="45"/>
      <c r="G150" s="32"/>
      <c r="H150" s="10"/>
      <c r="I150" s="45"/>
      <c r="J150" s="9"/>
      <c r="K150" s="9"/>
      <c r="L150" s="29">
        <f>+Tabelle2[[#This Row],[€/Kg Honig]]/2</f>
        <v>0</v>
      </c>
    </row>
    <row r="151" spans="1:12" ht="15.75" x14ac:dyDescent="0.25">
      <c r="A151" s="119"/>
      <c r="B151" s="11" t="s">
        <v>90</v>
      </c>
      <c r="C151" s="6"/>
      <c r="D151" s="45"/>
      <c r="E151" s="23" t="s">
        <v>73</v>
      </c>
      <c r="F151" s="45">
        <f>SUBTOTAL(109,F152:F154)</f>
        <v>2700</v>
      </c>
      <c r="G151" s="32"/>
      <c r="H151" s="10"/>
      <c r="I151" s="45">
        <f t="shared" ref="I151:L151" si="76">SUBTOTAL(109,I152:I154)</f>
        <v>2700</v>
      </c>
      <c r="J151" s="45">
        <f t="shared" si="76"/>
        <v>270</v>
      </c>
      <c r="K151" s="9">
        <f t="shared" si="76"/>
        <v>9</v>
      </c>
      <c r="L151" s="29">
        <f t="shared" si="76"/>
        <v>4.5</v>
      </c>
    </row>
    <row r="152" spans="1:12" ht="15.75" x14ac:dyDescent="0.25">
      <c r="A152" s="119"/>
      <c r="B152" s="8" t="s">
        <v>53</v>
      </c>
      <c r="C152" s="6" t="s">
        <v>55</v>
      </c>
      <c r="D152" s="45">
        <f>+C17</f>
        <v>15</v>
      </c>
      <c r="E152" s="6">
        <f>+C10*SUM(C3:C4)</f>
        <v>150</v>
      </c>
      <c r="F152" s="45">
        <f>+E152*D152</f>
        <v>2250</v>
      </c>
      <c r="G152" s="32">
        <v>1</v>
      </c>
      <c r="H152" s="10">
        <f>1/Tabelle2[[#This Row],[Nutzungs-jahre]]</f>
        <v>1</v>
      </c>
      <c r="I152" s="45">
        <f>+H152*F152</f>
        <v>2250</v>
      </c>
      <c r="J152" s="45">
        <f>+I152/$C$3</f>
        <v>225</v>
      </c>
      <c r="K152" s="9">
        <f>+I152/$C$9</f>
        <v>7.5</v>
      </c>
      <c r="L152" s="29">
        <f>+Tabelle2[[#This Row],[€/Kg Honig]]/2</f>
        <v>3.75</v>
      </c>
    </row>
    <row r="153" spans="1:12" ht="15.75" x14ac:dyDescent="0.25">
      <c r="A153" s="119"/>
      <c r="B153" s="8" t="s">
        <v>126</v>
      </c>
      <c r="C153" s="6" t="s">
        <v>55</v>
      </c>
      <c r="D153" s="45">
        <f>+C17</f>
        <v>15</v>
      </c>
      <c r="E153" s="6">
        <f>+C9*C11</f>
        <v>15</v>
      </c>
      <c r="F153" s="45">
        <f>+E153*D153</f>
        <v>225</v>
      </c>
      <c r="G153" s="32">
        <v>1</v>
      </c>
      <c r="H153" s="10">
        <f>1/Tabelle2[[#This Row],[Nutzungs-jahre]]</f>
        <v>1</v>
      </c>
      <c r="I153" s="45">
        <f>+H153*F153</f>
        <v>225</v>
      </c>
      <c r="J153" s="45">
        <f>+I153/$C$3</f>
        <v>22.5</v>
      </c>
      <c r="K153" s="9">
        <f>+I153/$C$9</f>
        <v>0.75</v>
      </c>
      <c r="L153" s="29">
        <f>+Tabelle2[[#This Row],[€/Kg Honig]]/2</f>
        <v>0.375</v>
      </c>
    </row>
    <row r="154" spans="1:12" ht="31.5" x14ac:dyDescent="0.25">
      <c r="A154" s="119"/>
      <c r="B154" s="8" t="s">
        <v>121</v>
      </c>
      <c r="C154" s="6" t="s">
        <v>55</v>
      </c>
      <c r="D154" s="45">
        <f>+D152</f>
        <v>15</v>
      </c>
      <c r="E154" s="50">
        <f>C12</f>
        <v>15</v>
      </c>
      <c r="F154" s="45">
        <f>+E154*D154</f>
        <v>225</v>
      </c>
      <c r="G154" s="32">
        <v>1</v>
      </c>
      <c r="H154" s="10">
        <f>1/Tabelle2[[#This Row],[Nutzungs-jahre]]</f>
        <v>1</v>
      </c>
      <c r="I154" s="45">
        <f>+H154*F154</f>
        <v>225</v>
      </c>
      <c r="J154" s="45">
        <f>+I154/$C$3</f>
        <v>22.5</v>
      </c>
      <c r="K154" s="9">
        <f>+I154/$C$9</f>
        <v>0.75</v>
      </c>
      <c r="L154" s="29">
        <f>+Tabelle2[[#This Row],[€/Kg Honig]]/2</f>
        <v>0.375</v>
      </c>
    </row>
    <row r="155" spans="1:12" ht="15.75" x14ac:dyDescent="0.25">
      <c r="A155" s="119"/>
      <c r="B155" s="8"/>
      <c r="C155" s="6"/>
      <c r="D155" s="45"/>
      <c r="E155" s="6"/>
      <c r="F155" s="45"/>
      <c r="G155" s="32"/>
      <c r="H155" s="10"/>
      <c r="I155" s="45"/>
      <c r="J155" s="9"/>
      <c r="K155" s="9"/>
      <c r="L155" s="29"/>
    </row>
    <row r="156" spans="1:12" ht="15.75" x14ac:dyDescent="0.25">
      <c r="A156" s="119"/>
      <c r="B156" s="8"/>
      <c r="C156" s="6"/>
      <c r="D156" s="45"/>
      <c r="E156" s="23" t="s">
        <v>75</v>
      </c>
      <c r="F156" s="45">
        <f>SUBTOTAL(109,F122:F155)</f>
        <v>4850.25</v>
      </c>
      <c r="G156" s="32"/>
      <c r="H156" s="10"/>
      <c r="I156" s="49">
        <f>SUBTOTAL(109,I122:I154)</f>
        <v>3682.05</v>
      </c>
      <c r="J156" s="49">
        <f>SUBTOTAL(109,J122:J154)</f>
        <v>368.20500000000004</v>
      </c>
      <c r="K156" s="9">
        <f>SUBTOTAL(109,K122:K154)</f>
        <v>12.2735</v>
      </c>
      <c r="L156" s="29">
        <f>+Tabelle2[[#This Row],[€/Kg Honig]]/2</f>
        <v>6.1367500000000001</v>
      </c>
    </row>
    <row r="157" spans="1:12" ht="15.75" x14ac:dyDescent="0.25">
      <c r="A157" s="119"/>
      <c r="B157" s="8"/>
      <c r="C157" s="6"/>
      <c r="D157" s="45"/>
      <c r="E157" s="23" t="s">
        <v>115</v>
      </c>
      <c r="F157" s="45">
        <f>SUBTOTAL(109,F123:F149)</f>
        <v>2150.25</v>
      </c>
      <c r="G157" s="32"/>
      <c r="H157" s="9"/>
      <c r="I157" s="49">
        <f>SUBTOTAL(109,I123:I149)</f>
        <v>982.05000000000007</v>
      </c>
      <c r="J157" s="49">
        <f>SUBTOTAL(109,J123:J149)</f>
        <v>98.205000000000013</v>
      </c>
      <c r="K157" s="9">
        <f>SUBTOTAL(109,K123:K149)</f>
        <v>3.2735000000000003</v>
      </c>
      <c r="L157" s="29">
        <f>+Tabelle2[[#This Row],[€/Kg Honig]]/2</f>
        <v>1.6367500000000001</v>
      </c>
    </row>
    <row r="158" spans="1:12" ht="15.75" x14ac:dyDescent="0.25">
      <c r="A158" s="24"/>
      <c r="B158" s="14"/>
      <c r="C158" s="15"/>
      <c r="D158" s="16"/>
      <c r="E158" s="16" t="s">
        <v>101</v>
      </c>
      <c r="F158" s="47">
        <f>SUBTOTAL(109,Tabelle2[GP €])</f>
        <v>16936.736797815131</v>
      </c>
      <c r="G158" s="34"/>
      <c r="H158" s="16"/>
      <c r="I158" s="47">
        <f>SUBTOTAL(109,Tabelle2[€/Jahr])</f>
        <v>4866.59632162465</v>
      </c>
      <c r="J158" s="47">
        <f>SUBTOTAL(109,Tabelle2[€/Volk])</f>
        <v>486.65963216246496</v>
      </c>
      <c r="K158" s="16">
        <f>SUBTOTAL(109,Tabelle2[€/Kg Honig])</f>
        <v>16.22198773874883</v>
      </c>
      <c r="L158" s="16">
        <f>+Tabelle2[[#Totals],[€/Kg Honig]]/2</f>
        <v>8.1109938693744148</v>
      </c>
    </row>
  </sheetData>
  <mergeCells count="4">
    <mergeCell ref="A50:A113"/>
    <mergeCell ref="A123:A157"/>
    <mergeCell ref="A30:A36"/>
    <mergeCell ref="A38:A43"/>
  </mergeCells>
  <conditionalFormatting sqref="E49:E56 E58:E70 E80:E93 E95:E102 E104:E113 E115:E119 E121 E123:E129 E151:E154 E148:E149 E137:E140 E72:E78 E131:E135 E142:E146">
    <cfRule type="cellIs" dxfId="28" priority="2" operator="equal">
      <formula>0</formula>
    </cfRule>
  </conditionalFormatting>
  <pageMargins left="0.25" right="0.25" top="0.75" bottom="0.75" header="0.3" footer="0.3"/>
  <pageSetup paperSize="9" scale="71" fitToHeight="0" orientation="portrait" horizontalDpi="0" verticalDpi="0" r:id="rId1"/>
  <headerFooter>
    <oddFooter>&amp;L&amp;1#&amp;"Calibri"&amp;8&amp;K000000Classified as Internal</oddFooter>
  </headerFooter>
  <rowBreaks count="2" manualBreakCount="2">
    <brk id="48" max="16383" man="1"/>
    <brk id="122" max="16383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Honigpreis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Stefan Bayerlein</cp:lastModifiedBy>
  <cp:lastPrinted>2022-10-07T05:09:56Z</cp:lastPrinted>
  <dcterms:created xsi:type="dcterms:W3CDTF">2016-10-16T19:33:22Z</dcterms:created>
  <dcterms:modified xsi:type="dcterms:W3CDTF">2023-03-25T15:28:38Z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477eab6e-04c6-4822-9252-98ab9f25736b_Enabled">
    <vt:lpwstr>true</vt:lpwstr>
  </property>
  <property fmtid="{D5CDD505-2E9C-101B-9397-08002B2CF9AE}" pid="9" name="MSIP_Label_477eab6e-04c6-4822-9252-98ab9f25736b_SetDate">
    <vt:lpwstr>2022-09-29T11:04:06Z</vt:lpwstr>
  </property>
  <property fmtid="{D5CDD505-2E9C-101B-9397-08002B2CF9AE}" pid="10" name="MSIP_Label_477eab6e-04c6-4822-9252-98ab9f25736b_Method">
    <vt:lpwstr>Standard</vt:lpwstr>
  </property>
  <property fmtid="{D5CDD505-2E9C-101B-9397-08002B2CF9AE}" pid="11" name="MSIP_Label_477eab6e-04c6-4822-9252-98ab9f25736b_Name">
    <vt:lpwstr>477eab6e-04c6-4822-9252-98ab9f25736b</vt:lpwstr>
  </property>
  <property fmtid="{D5CDD505-2E9C-101B-9397-08002B2CF9AE}" pid="12" name="MSIP_Label_477eab6e-04c6-4822-9252-98ab9f25736b_SiteId">
    <vt:lpwstr>d2007bef-127d-4591-97ac-10d72fe28031</vt:lpwstr>
  </property>
  <property fmtid="{D5CDD505-2E9C-101B-9397-08002B2CF9AE}" pid="13" name="MSIP_Label_477eab6e-04c6-4822-9252-98ab9f25736b_ActionId">
    <vt:lpwstr>c802dc21-b47a-449c-81a6-6682ba798ca0</vt:lpwstr>
  </property>
  <property fmtid="{D5CDD505-2E9C-101B-9397-08002B2CF9AE}" pid="14" name="MSIP_Label_477eab6e-04c6-4822-9252-98ab9f25736b_ContentBits">
    <vt:lpwstr>2</vt:lpwstr>
  </property>
</Properties>
</file>